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Seroczynski\Downloads\"/>
    </mc:Choice>
  </mc:AlternateContent>
  <xr:revisionPtr revIDLastSave="0" documentId="13_ncr:1_{54ED3ED0-D687-4DB2-BFD4-93AFF83BE9B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lan_statystyki" sheetId="9" r:id="rId1"/>
    <sheet name="Przedmioty_statystyka" sheetId="29" r:id="rId2"/>
    <sheet name="KODY 2024" sheetId="28" r:id="rId3"/>
    <sheet name="2024_Fakultety" sheetId="27" r:id="rId4"/>
    <sheet name="ECTS-Bilans nauk" sheetId="16" r:id="rId5"/>
    <sheet name="E,ZO,Z" sheetId="22" r:id="rId6"/>
    <sheet name="Obciazenie Studenta" sheetId="18" r:id="rId7"/>
    <sheet name="Wskazniki liczbowe1" sheetId="13" r:id="rId8"/>
    <sheet name="Wskazniki liczbowe2" sheetId="14" r:id="rId9"/>
    <sheet name="Moduly_full on-line " sheetId="23" r:id="rId10"/>
    <sheet name="Opisy_do planu " sheetId="15" r:id="rId11"/>
    <sheet name="moduly z nauki" sheetId="20" r:id="rId12"/>
    <sheet name="moduly dw" sheetId="21" r:id="rId13"/>
    <sheet name="zaklad-godziny" sheetId="11" r:id="rId14"/>
    <sheet name="Zwyzka limitu 40 na 60" sheetId="25" r:id="rId15"/>
    <sheet name="Arkusz zmian2024" sheetId="30" r:id="rId16"/>
  </sheets>
  <externalReferences>
    <externalReference r:id="rId1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0" i="28" l="1"/>
  <c r="O70" i="29" l="1"/>
  <c r="N70" i="29"/>
  <c r="M70" i="29"/>
  <c r="L70" i="29"/>
  <c r="K70" i="29"/>
  <c r="J70" i="29"/>
  <c r="E70" i="29"/>
  <c r="F70" i="29" s="1"/>
  <c r="D70" i="29"/>
  <c r="G70" i="29" s="1"/>
  <c r="C70" i="29"/>
  <c r="B70" i="29"/>
  <c r="M197" i="9"/>
  <c r="G198" i="9"/>
  <c r="G196" i="9"/>
  <c r="B164" i="30" l="1"/>
  <c r="B163" i="30"/>
  <c r="B162" i="30"/>
  <c r="B161" i="30"/>
  <c r="B160" i="30"/>
  <c r="B159" i="30"/>
  <c r="B158" i="30"/>
  <c r="B157" i="30"/>
  <c r="B156" i="30"/>
  <c r="B155" i="30"/>
  <c r="B153" i="30"/>
  <c r="B152" i="30"/>
  <c r="B151" i="30"/>
  <c r="B150" i="30"/>
  <c r="B149" i="30"/>
  <c r="B148" i="30"/>
  <c r="B147" i="30"/>
  <c r="B146" i="30"/>
  <c r="B145" i="30"/>
  <c r="B144" i="30"/>
  <c r="B143" i="30"/>
  <c r="B142" i="30"/>
  <c r="B141" i="30"/>
  <c r="B140" i="30"/>
  <c r="B139" i="30"/>
  <c r="B138" i="30"/>
  <c r="B137" i="30"/>
  <c r="B136" i="30"/>
  <c r="B135" i="30"/>
  <c r="B134" i="30"/>
  <c r="B133" i="30"/>
  <c r="B132" i="30"/>
  <c r="B131" i="30"/>
  <c r="B130" i="30"/>
  <c r="B129" i="30"/>
  <c r="B128" i="30"/>
  <c r="B127" i="30"/>
  <c r="B126" i="30"/>
  <c r="B125" i="30"/>
  <c r="B124" i="30"/>
  <c r="B123" i="30"/>
  <c r="B122" i="30"/>
  <c r="B121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1" i="30"/>
  <c r="B20" i="30"/>
  <c r="B19" i="30"/>
  <c r="B18" i="30"/>
  <c r="B17" i="30"/>
  <c r="B16" i="30"/>
  <c r="B15" i="30"/>
  <c r="B13" i="30"/>
  <c r="B12" i="30"/>
  <c r="B11" i="30"/>
  <c r="B10" i="30"/>
  <c r="B9" i="30"/>
  <c r="B8" i="30"/>
  <c r="B7" i="30"/>
  <c r="B6" i="30"/>
  <c r="B5" i="30"/>
  <c r="B4" i="30"/>
  <c r="B3" i="30"/>
  <c r="B2" i="30"/>
  <c r="B1" i="30"/>
  <c r="A164" i="30"/>
  <c r="A163" i="30"/>
  <c r="A162" i="30"/>
  <c r="A161" i="30"/>
  <c r="A160" i="30"/>
  <c r="A159" i="30"/>
  <c r="A158" i="30"/>
  <c r="A157" i="30"/>
  <c r="A156" i="30"/>
  <c r="A155" i="30"/>
  <c r="A154" i="30"/>
  <c r="A153" i="30"/>
  <c r="A152" i="30"/>
  <c r="A151" i="30"/>
  <c r="A150" i="30"/>
  <c r="A149" i="30"/>
  <c r="A148" i="30"/>
  <c r="A147" i="30"/>
  <c r="A146" i="30"/>
  <c r="A145" i="30"/>
  <c r="A144" i="30"/>
  <c r="A143" i="30"/>
  <c r="A142" i="30"/>
  <c r="A141" i="30"/>
  <c r="A140" i="30"/>
  <c r="A139" i="30"/>
  <c r="A138" i="30"/>
  <c r="A137" i="30"/>
  <c r="A136" i="30"/>
  <c r="A135" i="30"/>
  <c r="A134" i="30"/>
  <c r="A133" i="30"/>
  <c r="A132" i="30"/>
  <c r="A131" i="30"/>
  <c r="A130" i="30"/>
  <c r="A129" i="30"/>
  <c r="A128" i="30"/>
  <c r="A127" i="30"/>
  <c r="A126" i="30"/>
  <c r="A125" i="30"/>
  <c r="A124" i="30"/>
  <c r="A123" i="30"/>
  <c r="A122" i="30"/>
  <c r="A121" i="30"/>
  <c r="A120" i="30"/>
  <c r="A119" i="30"/>
  <c r="A118" i="30"/>
  <c r="A117" i="30"/>
  <c r="A116" i="30"/>
  <c r="A115" i="30"/>
  <c r="A114" i="30"/>
  <c r="A113" i="30"/>
  <c r="A112" i="30"/>
  <c r="A111" i="30"/>
  <c r="A110" i="30"/>
  <c r="A109" i="30"/>
  <c r="A108" i="30"/>
  <c r="A107" i="30"/>
  <c r="A106" i="30"/>
  <c r="A105" i="30"/>
  <c r="A104" i="30"/>
  <c r="A103" i="30"/>
  <c r="A102" i="30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A7" i="30"/>
  <c r="A6" i="30"/>
  <c r="A5" i="30"/>
  <c r="A4" i="30"/>
  <c r="A3" i="30"/>
  <c r="A2" i="30"/>
  <c r="A1" i="30"/>
  <c r="W143" i="9"/>
  <c r="M108" i="9"/>
  <c r="R108" i="9"/>
  <c r="W108" i="9"/>
  <c r="W151" i="9"/>
  <c r="G151" i="9"/>
  <c r="V188" i="9"/>
  <c r="V154" i="9"/>
  <c r="V123" i="9"/>
  <c r="V90" i="9"/>
  <c r="R56" i="9"/>
  <c r="V32" i="9"/>
  <c r="V56" i="9"/>
  <c r="W83" i="9"/>
  <c r="I151" i="9" l="1"/>
  <c r="H70" i="29"/>
  <c r="H151" i="9"/>
  <c r="J151" i="9" l="1"/>
  <c r="I70" i="29"/>
  <c r="W21" i="9"/>
  <c r="A67" i="16"/>
  <c r="E15" i="18"/>
  <c r="E14" i="18"/>
  <c r="J3" i="23" l="1"/>
  <c r="I3" i="23"/>
  <c r="D3" i="23"/>
  <c r="C3" i="23"/>
  <c r="B3" i="23"/>
  <c r="A3" i="23"/>
  <c r="D245" i="9"/>
  <c r="O14" i="29" l="1"/>
  <c r="N14" i="29"/>
  <c r="M14" i="29"/>
  <c r="L14" i="29"/>
  <c r="K14" i="29"/>
  <c r="J14" i="29"/>
  <c r="E14" i="29"/>
  <c r="D14" i="29"/>
  <c r="G14" i="29" s="1"/>
  <c r="C14" i="29"/>
  <c r="B14" i="29"/>
  <c r="A13" i="16" s="1"/>
  <c r="E30" i="9"/>
  <c r="AI32" i="9"/>
  <c r="B14" i="30" s="1"/>
  <c r="M28" i="9"/>
  <c r="M30" i="9" s="1"/>
  <c r="G28" i="9"/>
  <c r="V30" i="9"/>
  <c r="R30" i="9"/>
  <c r="Q30" i="9"/>
  <c r="L30" i="9"/>
  <c r="F30" i="9"/>
  <c r="F14" i="29" l="1"/>
  <c r="B13" i="16"/>
  <c r="H13" i="16" s="1"/>
  <c r="H14" i="29"/>
  <c r="H28" i="9"/>
  <c r="I28" i="9"/>
  <c r="I14" i="29" s="1"/>
  <c r="J28" i="9" l="1"/>
  <c r="E2" i="29" l="1"/>
  <c r="AI188" i="9" l="1"/>
  <c r="B154" i="30" s="1"/>
  <c r="W146" i="9"/>
  <c r="R146" i="9"/>
  <c r="G146" i="9"/>
  <c r="I146" i="9" s="1"/>
  <c r="J146" i="9" s="1"/>
  <c r="H146" i="9" l="1"/>
  <c r="F204" i="9" l="1"/>
  <c r="B47" i="29" l="1"/>
  <c r="B33" i="29"/>
  <c r="B63" i="29"/>
  <c r="O90" i="29"/>
  <c r="C90" i="29"/>
  <c r="O89" i="29"/>
  <c r="N89" i="29"/>
  <c r="M89" i="29"/>
  <c r="L89" i="29"/>
  <c r="K89" i="29"/>
  <c r="J89" i="29"/>
  <c r="E89" i="29"/>
  <c r="D89" i="29"/>
  <c r="G89" i="29" s="1"/>
  <c r="C89" i="29"/>
  <c r="B89" i="29"/>
  <c r="A68" i="16" s="1"/>
  <c r="O88" i="29"/>
  <c r="N88" i="29"/>
  <c r="M88" i="29"/>
  <c r="L88" i="29"/>
  <c r="K88" i="29"/>
  <c r="E88" i="29"/>
  <c r="D88" i="29"/>
  <c r="G88" i="29" s="1"/>
  <c r="C88" i="29"/>
  <c r="O87" i="29"/>
  <c r="N87" i="29"/>
  <c r="L87" i="29"/>
  <c r="K87" i="29"/>
  <c r="J87" i="29"/>
  <c r="E87" i="29"/>
  <c r="D87" i="29"/>
  <c r="G87" i="29" s="1"/>
  <c r="C87" i="29"/>
  <c r="B87" i="29"/>
  <c r="A66" i="16" s="1"/>
  <c r="O86" i="29"/>
  <c r="M86" i="29"/>
  <c r="L86" i="29"/>
  <c r="K86" i="29"/>
  <c r="J86" i="29"/>
  <c r="E86" i="29"/>
  <c r="D86" i="29"/>
  <c r="G86" i="29" s="1"/>
  <c r="C86" i="29"/>
  <c r="B86" i="29"/>
  <c r="A65" i="16" s="1"/>
  <c r="O85" i="29"/>
  <c r="N85" i="29"/>
  <c r="M85" i="29"/>
  <c r="L85" i="29"/>
  <c r="K85" i="29"/>
  <c r="J85" i="29"/>
  <c r="E85" i="29"/>
  <c r="D85" i="29"/>
  <c r="G85" i="29" s="1"/>
  <c r="C85" i="29"/>
  <c r="B85" i="29"/>
  <c r="A64" i="16" s="1"/>
  <c r="A63" i="16"/>
  <c r="O84" i="29"/>
  <c r="N84" i="29"/>
  <c r="M84" i="29"/>
  <c r="L84" i="29"/>
  <c r="K84" i="29"/>
  <c r="J84" i="29"/>
  <c r="E84" i="29"/>
  <c r="D84" i="29"/>
  <c r="G84" i="29" s="1"/>
  <c r="C84" i="29"/>
  <c r="B84" i="29"/>
  <c r="A62" i="16" s="1"/>
  <c r="O83" i="29"/>
  <c r="N83" i="29"/>
  <c r="M83" i="29"/>
  <c r="L83" i="29"/>
  <c r="K83" i="29"/>
  <c r="J83" i="29"/>
  <c r="E83" i="29"/>
  <c r="D83" i="29"/>
  <c r="G83" i="29" s="1"/>
  <c r="C83" i="29"/>
  <c r="B83" i="29"/>
  <c r="A61" i="16" s="1"/>
  <c r="O82" i="29"/>
  <c r="N82" i="29"/>
  <c r="M82" i="29"/>
  <c r="L82" i="29"/>
  <c r="K82" i="29"/>
  <c r="J82" i="29"/>
  <c r="I82" i="29"/>
  <c r="H82" i="29"/>
  <c r="E82" i="29"/>
  <c r="D82" i="29"/>
  <c r="G82" i="29" s="1"/>
  <c r="C82" i="29"/>
  <c r="B82" i="29"/>
  <c r="A60" i="16" s="1"/>
  <c r="O81" i="29"/>
  <c r="N81" i="29"/>
  <c r="M81" i="29"/>
  <c r="L81" i="29"/>
  <c r="K81" i="29"/>
  <c r="J81" i="29"/>
  <c r="I81" i="29"/>
  <c r="E81" i="29"/>
  <c r="D81" i="29"/>
  <c r="G81" i="29" s="1"/>
  <c r="C81" i="29"/>
  <c r="B81" i="29"/>
  <c r="A59" i="16" s="1"/>
  <c r="O80" i="29"/>
  <c r="N80" i="29"/>
  <c r="M80" i="29"/>
  <c r="L80" i="29"/>
  <c r="K80" i="29"/>
  <c r="J80" i="29"/>
  <c r="E80" i="29"/>
  <c r="D80" i="29"/>
  <c r="G80" i="29" s="1"/>
  <c r="C80" i="29"/>
  <c r="B80" i="29"/>
  <c r="A58" i="16" s="1"/>
  <c r="O79" i="29"/>
  <c r="N79" i="29"/>
  <c r="M79" i="29"/>
  <c r="L79" i="29"/>
  <c r="K79" i="29"/>
  <c r="J79" i="29"/>
  <c r="E79" i="29"/>
  <c r="D79" i="29"/>
  <c r="G79" i="29" s="1"/>
  <c r="C79" i="29"/>
  <c r="B79" i="29"/>
  <c r="A57" i="16" s="1"/>
  <c r="O78" i="29"/>
  <c r="N78" i="29"/>
  <c r="M78" i="29"/>
  <c r="L78" i="29"/>
  <c r="K78" i="29"/>
  <c r="J78" i="29"/>
  <c r="E78" i="29"/>
  <c r="D78" i="29"/>
  <c r="G78" i="29" s="1"/>
  <c r="C78" i="29"/>
  <c r="B78" i="29"/>
  <c r="A56" i="16" s="1"/>
  <c r="B77" i="29"/>
  <c r="O74" i="29"/>
  <c r="C74" i="29"/>
  <c r="O73" i="29"/>
  <c r="M73" i="29"/>
  <c r="L73" i="29"/>
  <c r="K73" i="29"/>
  <c r="J73" i="29"/>
  <c r="E73" i="29"/>
  <c r="D73" i="29"/>
  <c r="G73" i="29" s="1"/>
  <c r="C73" i="29"/>
  <c r="B73" i="29"/>
  <c r="A55" i="16" s="1"/>
  <c r="O72" i="29"/>
  <c r="N72" i="29"/>
  <c r="M72" i="29"/>
  <c r="L72" i="29"/>
  <c r="K72" i="29"/>
  <c r="J72" i="29"/>
  <c r="E72" i="29"/>
  <c r="D72" i="29"/>
  <c r="G72" i="29" s="1"/>
  <c r="C72" i="29"/>
  <c r="B72" i="29"/>
  <c r="A54" i="16" s="1"/>
  <c r="O71" i="29"/>
  <c r="N71" i="29"/>
  <c r="M71" i="29"/>
  <c r="L71" i="29"/>
  <c r="K71" i="29"/>
  <c r="J71" i="29"/>
  <c r="E71" i="29"/>
  <c r="D71" i="29"/>
  <c r="G71" i="29" s="1"/>
  <c r="C71" i="29"/>
  <c r="B71" i="29"/>
  <c r="A53" i="16" s="1"/>
  <c r="O69" i="29"/>
  <c r="N69" i="29"/>
  <c r="M69" i="29"/>
  <c r="L69" i="29"/>
  <c r="K69" i="29"/>
  <c r="J69" i="29"/>
  <c r="E69" i="29"/>
  <c r="D69" i="29"/>
  <c r="G69" i="29" s="1"/>
  <c r="C69" i="29"/>
  <c r="B69" i="29"/>
  <c r="A52" i="16" s="1"/>
  <c r="O68" i="29"/>
  <c r="N68" i="29"/>
  <c r="M68" i="29"/>
  <c r="L68" i="29"/>
  <c r="K68" i="29"/>
  <c r="J68" i="29"/>
  <c r="E68" i="29"/>
  <c r="D68" i="29"/>
  <c r="G68" i="29" s="1"/>
  <c r="C68" i="29"/>
  <c r="B68" i="29"/>
  <c r="A51" i="16" s="1"/>
  <c r="O67" i="29"/>
  <c r="N67" i="29"/>
  <c r="M67" i="29"/>
  <c r="L67" i="29"/>
  <c r="K67" i="29"/>
  <c r="J67" i="29"/>
  <c r="E67" i="29"/>
  <c r="D67" i="29"/>
  <c r="G67" i="29" s="1"/>
  <c r="C67" i="29"/>
  <c r="B67" i="29"/>
  <c r="A50" i="16" s="1"/>
  <c r="O66" i="29"/>
  <c r="N66" i="29"/>
  <c r="M66" i="29"/>
  <c r="L66" i="29"/>
  <c r="K66" i="29"/>
  <c r="J66" i="29"/>
  <c r="E66" i="29"/>
  <c r="D66" i="29"/>
  <c r="G66" i="29" s="1"/>
  <c r="C66" i="29"/>
  <c r="B66" i="29"/>
  <c r="A49" i="16" s="1"/>
  <c r="O65" i="29"/>
  <c r="N65" i="29"/>
  <c r="M65" i="29"/>
  <c r="L65" i="29"/>
  <c r="K65" i="29"/>
  <c r="J65" i="29"/>
  <c r="E65" i="29"/>
  <c r="D65" i="29"/>
  <c r="G65" i="29" s="1"/>
  <c r="C65" i="29"/>
  <c r="B65" i="29"/>
  <c r="A48" i="16" s="1"/>
  <c r="O64" i="29"/>
  <c r="N64" i="29"/>
  <c r="M64" i="29"/>
  <c r="L64" i="29"/>
  <c r="K64" i="29"/>
  <c r="J64" i="29"/>
  <c r="E64" i="29"/>
  <c r="D64" i="29"/>
  <c r="G64" i="29" s="1"/>
  <c r="C64" i="29"/>
  <c r="B64" i="29"/>
  <c r="A47" i="16" s="1"/>
  <c r="N60" i="29"/>
  <c r="C60" i="29"/>
  <c r="N59" i="29"/>
  <c r="M59" i="29"/>
  <c r="L59" i="29"/>
  <c r="K59" i="29"/>
  <c r="J59" i="29"/>
  <c r="H59" i="29"/>
  <c r="E59" i="29"/>
  <c r="D59" i="29"/>
  <c r="G59" i="29" s="1"/>
  <c r="C59" i="29"/>
  <c r="B59" i="29"/>
  <c r="A46" i="16" s="1"/>
  <c r="O58" i="29"/>
  <c r="N58" i="29"/>
  <c r="M58" i="29"/>
  <c r="L58" i="29"/>
  <c r="K58" i="29"/>
  <c r="J58" i="29"/>
  <c r="E58" i="29"/>
  <c r="D58" i="29"/>
  <c r="G58" i="29" s="1"/>
  <c r="C58" i="29"/>
  <c r="B58" i="29"/>
  <c r="A45" i="16" s="1"/>
  <c r="O57" i="29"/>
  <c r="N57" i="29"/>
  <c r="M57" i="29"/>
  <c r="L57" i="29"/>
  <c r="K57" i="29"/>
  <c r="J57" i="29"/>
  <c r="E57" i="29"/>
  <c r="D57" i="29"/>
  <c r="G57" i="29" s="1"/>
  <c r="C57" i="29"/>
  <c r="B57" i="29"/>
  <c r="A44" i="16" s="1"/>
  <c r="O56" i="29"/>
  <c r="N56" i="29"/>
  <c r="M56" i="29"/>
  <c r="L56" i="29"/>
  <c r="K56" i="29"/>
  <c r="J56" i="29"/>
  <c r="E56" i="29"/>
  <c r="D56" i="29"/>
  <c r="G56" i="29" s="1"/>
  <c r="C56" i="29"/>
  <c r="B56" i="29"/>
  <c r="A43" i="16" s="1"/>
  <c r="O55" i="29"/>
  <c r="N55" i="29"/>
  <c r="M55" i="29"/>
  <c r="L55" i="29"/>
  <c r="K55" i="29"/>
  <c r="J55" i="29"/>
  <c r="E55" i="29"/>
  <c r="D55" i="29"/>
  <c r="G55" i="29" s="1"/>
  <c r="C55" i="29"/>
  <c r="B55" i="29"/>
  <c r="A42" i="16" s="1"/>
  <c r="O54" i="29"/>
  <c r="N54" i="29"/>
  <c r="M54" i="29"/>
  <c r="L54" i="29"/>
  <c r="K54" i="29"/>
  <c r="J54" i="29"/>
  <c r="E54" i="29"/>
  <c r="D54" i="29"/>
  <c r="G54" i="29" s="1"/>
  <c r="C54" i="29"/>
  <c r="B54" i="29"/>
  <c r="A41" i="16" s="1"/>
  <c r="O53" i="29"/>
  <c r="N53" i="29"/>
  <c r="M53" i="29"/>
  <c r="L53" i="29"/>
  <c r="K53" i="29"/>
  <c r="J53" i="29"/>
  <c r="E53" i="29"/>
  <c r="D53" i="29"/>
  <c r="G53" i="29" s="1"/>
  <c r="C53" i="29"/>
  <c r="B53" i="29"/>
  <c r="A40" i="16" s="1"/>
  <c r="O52" i="29"/>
  <c r="N52" i="29"/>
  <c r="M52" i="29"/>
  <c r="L52" i="29"/>
  <c r="K52" i="29"/>
  <c r="E52" i="29"/>
  <c r="D52" i="29"/>
  <c r="G52" i="29" s="1"/>
  <c r="C52" i="29"/>
  <c r="B52" i="29"/>
  <c r="A39" i="16" s="1"/>
  <c r="O51" i="29"/>
  <c r="N51" i="29"/>
  <c r="M51" i="29"/>
  <c r="L51" i="29"/>
  <c r="K51" i="29"/>
  <c r="J51" i="29"/>
  <c r="E51" i="29"/>
  <c r="D51" i="29"/>
  <c r="G51" i="29" s="1"/>
  <c r="C51" i="29"/>
  <c r="B51" i="29"/>
  <c r="A38" i="16" s="1"/>
  <c r="O50" i="29"/>
  <c r="N50" i="29"/>
  <c r="M50" i="29"/>
  <c r="L50" i="29"/>
  <c r="K50" i="29"/>
  <c r="J50" i="29"/>
  <c r="E50" i="29"/>
  <c r="D50" i="29"/>
  <c r="G50" i="29" s="1"/>
  <c r="C50" i="29"/>
  <c r="B50" i="29"/>
  <c r="A37" i="16" s="1"/>
  <c r="O49" i="29"/>
  <c r="N49" i="29"/>
  <c r="M49" i="29"/>
  <c r="L49" i="29"/>
  <c r="K49" i="29"/>
  <c r="J49" i="29"/>
  <c r="E49" i="29"/>
  <c r="D49" i="29"/>
  <c r="G49" i="29" s="1"/>
  <c r="C49" i="29"/>
  <c r="B49" i="29"/>
  <c r="A36" i="16" s="1"/>
  <c r="O48" i="29"/>
  <c r="N48" i="29"/>
  <c r="M48" i="29"/>
  <c r="L48" i="29"/>
  <c r="K48" i="29"/>
  <c r="J48" i="29"/>
  <c r="E48" i="29"/>
  <c r="D48" i="29"/>
  <c r="G48" i="29" s="1"/>
  <c r="C48" i="29"/>
  <c r="B48" i="29"/>
  <c r="A35" i="16" s="1"/>
  <c r="O44" i="29"/>
  <c r="N44" i="29"/>
  <c r="C44" i="29"/>
  <c r="O43" i="29"/>
  <c r="N43" i="29"/>
  <c r="M43" i="29"/>
  <c r="L43" i="29"/>
  <c r="K43" i="29"/>
  <c r="J43" i="29"/>
  <c r="E43" i="29"/>
  <c r="D43" i="29"/>
  <c r="G43" i="29" s="1"/>
  <c r="C43" i="29"/>
  <c r="B43" i="29"/>
  <c r="A34" i="16" s="1"/>
  <c r="O42" i="29"/>
  <c r="N42" i="29"/>
  <c r="M42" i="29"/>
  <c r="L42" i="29"/>
  <c r="K42" i="29"/>
  <c r="J42" i="29"/>
  <c r="E42" i="29"/>
  <c r="D42" i="29"/>
  <c r="G42" i="29" s="1"/>
  <c r="C42" i="29"/>
  <c r="B42" i="29"/>
  <c r="A33" i="16" s="1"/>
  <c r="O41" i="29"/>
  <c r="N41" i="29"/>
  <c r="M41" i="29"/>
  <c r="L41" i="29"/>
  <c r="K41" i="29"/>
  <c r="J41" i="29"/>
  <c r="I41" i="29"/>
  <c r="E41" i="29"/>
  <c r="D41" i="29"/>
  <c r="G41" i="29" s="1"/>
  <c r="C41" i="29"/>
  <c r="B41" i="29"/>
  <c r="A32" i="16" s="1"/>
  <c r="O40" i="29"/>
  <c r="N40" i="29"/>
  <c r="M40" i="29"/>
  <c r="L40" i="29"/>
  <c r="K40" i="29"/>
  <c r="J40" i="29"/>
  <c r="E40" i="29"/>
  <c r="D40" i="29"/>
  <c r="G40" i="29" s="1"/>
  <c r="C40" i="29"/>
  <c r="B40" i="29"/>
  <c r="A31" i="16" s="1"/>
  <c r="O39" i="29"/>
  <c r="N39" i="29"/>
  <c r="M39" i="29"/>
  <c r="L39" i="29"/>
  <c r="K39" i="29"/>
  <c r="J39" i="29"/>
  <c r="E39" i="29"/>
  <c r="D39" i="29"/>
  <c r="G39" i="29" s="1"/>
  <c r="C39" i="29"/>
  <c r="B39" i="29"/>
  <c r="A30" i="16" s="1"/>
  <c r="O38" i="29"/>
  <c r="N38" i="29"/>
  <c r="M38" i="29"/>
  <c r="L38" i="29"/>
  <c r="K38" i="29"/>
  <c r="J38" i="29"/>
  <c r="E38" i="29"/>
  <c r="D38" i="29"/>
  <c r="G38" i="29" s="1"/>
  <c r="C38" i="29"/>
  <c r="B38" i="29"/>
  <c r="A29" i="16" s="1"/>
  <c r="O37" i="29"/>
  <c r="N37" i="29"/>
  <c r="M37" i="29"/>
  <c r="L37" i="29"/>
  <c r="K37" i="29"/>
  <c r="J37" i="29"/>
  <c r="E37" i="29"/>
  <c r="D37" i="29"/>
  <c r="G37" i="29" s="1"/>
  <c r="C37" i="29"/>
  <c r="B37" i="29"/>
  <c r="A28" i="16" s="1"/>
  <c r="O36" i="29"/>
  <c r="N36" i="29"/>
  <c r="M36" i="29"/>
  <c r="L36" i="29"/>
  <c r="K36" i="29"/>
  <c r="J36" i="29"/>
  <c r="E36" i="29"/>
  <c r="D36" i="29"/>
  <c r="G36" i="29" s="1"/>
  <c r="C36" i="29"/>
  <c r="B36" i="29"/>
  <c r="A27" i="16" s="1"/>
  <c r="O35" i="29"/>
  <c r="N35" i="29"/>
  <c r="M35" i="29"/>
  <c r="L35" i="29"/>
  <c r="K35" i="29"/>
  <c r="J35" i="29"/>
  <c r="E35" i="29"/>
  <c r="D35" i="29"/>
  <c r="G35" i="29" s="1"/>
  <c r="C35" i="29"/>
  <c r="B35" i="29"/>
  <c r="A26" i="16" s="1"/>
  <c r="O34" i="29"/>
  <c r="N34" i="29"/>
  <c r="M34" i="29"/>
  <c r="L34" i="29"/>
  <c r="K34" i="29"/>
  <c r="J34" i="29"/>
  <c r="E34" i="29"/>
  <c r="D34" i="29"/>
  <c r="G34" i="29" s="1"/>
  <c r="C34" i="29"/>
  <c r="B34" i="29"/>
  <c r="A25" i="16" s="1"/>
  <c r="N30" i="29"/>
  <c r="C30" i="29"/>
  <c r="N29" i="29"/>
  <c r="M29" i="29"/>
  <c r="L29" i="29"/>
  <c r="K29" i="29"/>
  <c r="J29" i="29"/>
  <c r="H29" i="29"/>
  <c r="E29" i="29"/>
  <c r="D29" i="29"/>
  <c r="G29" i="29" s="1"/>
  <c r="C29" i="29"/>
  <c r="B29" i="29"/>
  <c r="A24" i="16" s="1"/>
  <c r="O28" i="29"/>
  <c r="N28" i="29"/>
  <c r="M28" i="29"/>
  <c r="L28" i="29"/>
  <c r="K28" i="29"/>
  <c r="J28" i="29"/>
  <c r="E28" i="29"/>
  <c r="D28" i="29"/>
  <c r="G28" i="29" s="1"/>
  <c r="C28" i="29"/>
  <c r="B28" i="29"/>
  <c r="A23" i="16" s="1"/>
  <c r="O27" i="29"/>
  <c r="N27" i="29"/>
  <c r="M27" i="29"/>
  <c r="L27" i="29"/>
  <c r="K27" i="29"/>
  <c r="J27" i="29"/>
  <c r="I27" i="29"/>
  <c r="E27" i="29"/>
  <c r="D27" i="29"/>
  <c r="G27" i="29" s="1"/>
  <c r="C27" i="29"/>
  <c r="B27" i="29"/>
  <c r="A22" i="16" s="1"/>
  <c r="O26" i="29"/>
  <c r="N26" i="29"/>
  <c r="M26" i="29"/>
  <c r="L26" i="29"/>
  <c r="K26" i="29"/>
  <c r="J26" i="29"/>
  <c r="E26" i="29"/>
  <c r="D26" i="29"/>
  <c r="G26" i="29" s="1"/>
  <c r="C26" i="29"/>
  <c r="B26" i="29"/>
  <c r="A21" i="16" s="1"/>
  <c r="O25" i="29"/>
  <c r="N25" i="29"/>
  <c r="M25" i="29"/>
  <c r="L25" i="29"/>
  <c r="K25" i="29"/>
  <c r="J25" i="29"/>
  <c r="E25" i="29"/>
  <c r="D25" i="29"/>
  <c r="G25" i="29" s="1"/>
  <c r="C25" i="29"/>
  <c r="B25" i="29"/>
  <c r="A20" i="16" s="1"/>
  <c r="O24" i="29"/>
  <c r="N24" i="29"/>
  <c r="M24" i="29"/>
  <c r="L24" i="29"/>
  <c r="K24" i="29"/>
  <c r="J24" i="29"/>
  <c r="E24" i="29"/>
  <c r="D24" i="29"/>
  <c r="G24" i="29" s="1"/>
  <c r="C24" i="29"/>
  <c r="B24" i="29"/>
  <c r="A19" i="16" s="1"/>
  <c r="O23" i="29"/>
  <c r="N23" i="29"/>
  <c r="M23" i="29"/>
  <c r="L23" i="29"/>
  <c r="K23" i="29"/>
  <c r="J23" i="29"/>
  <c r="E23" i="29"/>
  <c r="D23" i="29"/>
  <c r="G23" i="29" s="1"/>
  <c r="C23" i="29"/>
  <c r="B23" i="29"/>
  <c r="A18" i="16" s="1"/>
  <c r="O22" i="29"/>
  <c r="N22" i="29"/>
  <c r="M22" i="29"/>
  <c r="L22" i="29"/>
  <c r="K22" i="29"/>
  <c r="J22" i="29"/>
  <c r="E22" i="29"/>
  <c r="D22" i="29"/>
  <c r="G22" i="29" s="1"/>
  <c r="C22" i="29"/>
  <c r="B22" i="29"/>
  <c r="A17" i="16" s="1"/>
  <c r="O21" i="29"/>
  <c r="N21" i="29"/>
  <c r="M21" i="29"/>
  <c r="L21" i="29"/>
  <c r="K21" i="29"/>
  <c r="J21" i="29"/>
  <c r="E21" i="29"/>
  <c r="D21" i="29"/>
  <c r="G21" i="29" s="1"/>
  <c r="C21" i="29"/>
  <c r="B21" i="29"/>
  <c r="A16" i="16" s="1"/>
  <c r="B20" i="29"/>
  <c r="O17" i="29"/>
  <c r="N17" i="29"/>
  <c r="C17" i="29"/>
  <c r="O16" i="29"/>
  <c r="N16" i="29"/>
  <c r="M16" i="29"/>
  <c r="L16" i="29"/>
  <c r="K16" i="29"/>
  <c r="J16" i="29"/>
  <c r="E16" i="29"/>
  <c r="D16" i="29"/>
  <c r="G16" i="29" s="1"/>
  <c r="C16" i="29"/>
  <c r="B16" i="29"/>
  <c r="O15" i="29"/>
  <c r="N15" i="29"/>
  <c r="M15" i="29"/>
  <c r="L15" i="29"/>
  <c r="K15" i="29"/>
  <c r="J15" i="29"/>
  <c r="E15" i="29"/>
  <c r="D15" i="29"/>
  <c r="G15" i="29" s="1"/>
  <c r="C15" i="29"/>
  <c r="B15" i="29"/>
  <c r="A14" i="16" s="1"/>
  <c r="O13" i="29"/>
  <c r="N13" i="29"/>
  <c r="M13" i="29"/>
  <c r="L13" i="29"/>
  <c r="K13" i="29"/>
  <c r="J13" i="29"/>
  <c r="E13" i="29"/>
  <c r="D13" i="29"/>
  <c r="G13" i="29" s="1"/>
  <c r="C13" i="29"/>
  <c r="B13" i="29"/>
  <c r="A12" i="16" s="1"/>
  <c r="O12" i="29"/>
  <c r="N12" i="29"/>
  <c r="M12" i="29"/>
  <c r="L12" i="29"/>
  <c r="K12" i="29"/>
  <c r="J12" i="29"/>
  <c r="E12" i="29"/>
  <c r="D12" i="29"/>
  <c r="G12" i="29" s="1"/>
  <c r="C12" i="29"/>
  <c r="B12" i="29"/>
  <c r="A11" i="16" s="1"/>
  <c r="O11" i="29"/>
  <c r="N11" i="29"/>
  <c r="M11" i="29"/>
  <c r="L11" i="29"/>
  <c r="K11" i="29"/>
  <c r="J11" i="29"/>
  <c r="I11" i="29"/>
  <c r="E11" i="29"/>
  <c r="D11" i="29"/>
  <c r="G11" i="29" s="1"/>
  <c r="C11" i="29"/>
  <c r="B11" i="29"/>
  <c r="A10" i="16" s="1"/>
  <c r="O10" i="29"/>
  <c r="N10" i="29"/>
  <c r="M10" i="29"/>
  <c r="L10" i="29"/>
  <c r="K10" i="29"/>
  <c r="J10" i="29"/>
  <c r="E10" i="29"/>
  <c r="D10" i="29"/>
  <c r="G10" i="29" s="1"/>
  <c r="C10" i="29"/>
  <c r="B10" i="29"/>
  <c r="A9" i="16" s="1"/>
  <c r="O9" i="29"/>
  <c r="N9" i="29"/>
  <c r="M9" i="29"/>
  <c r="L9" i="29"/>
  <c r="K9" i="29"/>
  <c r="J9" i="29"/>
  <c r="E9" i="29"/>
  <c r="D9" i="29"/>
  <c r="G9" i="29" s="1"/>
  <c r="C9" i="29"/>
  <c r="B9" i="29"/>
  <c r="A8" i="16" s="1"/>
  <c r="O8" i="29"/>
  <c r="N8" i="29"/>
  <c r="M8" i="29"/>
  <c r="L8" i="29"/>
  <c r="K8" i="29"/>
  <c r="J8" i="29"/>
  <c r="E8" i="29"/>
  <c r="D8" i="29"/>
  <c r="G8" i="29" s="1"/>
  <c r="C8" i="29"/>
  <c r="B8" i="29"/>
  <c r="A7" i="16" s="1"/>
  <c r="O7" i="29"/>
  <c r="N7" i="29"/>
  <c r="M7" i="29"/>
  <c r="L7" i="29"/>
  <c r="K7" i="29"/>
  <c r="J7" i="29"/>
  <c r="E7" i="29"/>
  <c r="D7" i="29"/>
  <c r="G7" i="29" s="1"/>
  <c r="C7" i="29"/>
  <c r="B7" i="29"/>
  <c r="A6" i="16" s="1"/>
  <c r="O6" i="29"/>
  <c r="N6" i="29"/>
  <c r="M6" i="29"/>
  <c r="L6" i="29"/>
  <c r="K6" i="29"/>
  <c r="J6" i="29"/>
  <c r="E6" i="29"/>
  <c r="D6" i="29"/>
  <c r="G6" i="29" s="1"/>
  <c r="C6" i="29"/>
  <c r="B6" i="29"/>
  <c r="A5" i="16" s="1"/>
  <c r="O5" i="29"/>
  <c r="N5" i="29"/>
  <c r="M5" i="29"/>
  <c r="L5" i="29"/>
  <c r="K5" i="29"/>
  <c r="J5" i="29"/>
  <c r="E5" i="29"/>
  <c r="D5" i="29"/>
  <c r="G5" i="29" s="1"/>
  <c r="C5" i="29"/>
  <c r="B5" i="29"/>
  <c r="A4" i="16" s="1"/>
  <c r="O4" i="29"/>
  <c r="N4" i="29"/>
  <c r="M4" i="29"/>
  <c r="L4" i="29"/>
  <c r="K4" i="29"/>
  <c r="J4" i="29"/>
  <c r="E4" i="29"/>
  <c r="D4" i="29"/>
  <c r="G4" i="29" s="1"/>
  <c r="C4" i="29"/>
  <c r="B4" i="29"/>
  <c r="A3" i="16" s="1"/>
  <c r="O3" i="29"/>
  <c r="N3" i="29"/>
  <c r="M3" i="29"/>
  <c r="L3" i="29"/>
  <c r="K3" i="29"/>
  <c r="J3" i="29"/>
  <c r="E3" i="29"/>
  <c r="D3" i="29"/>
  <c r="G3" i="29" s="1"/>
  <c r="C3" i="29"/>
  <c r="B3" i="29"/>
  <c r="A2" i="16" s="1"/>
  <c r="B2" i="29"/>
  <c r="H87" i="29"/>
  <c r="I64" i="9"/>
  <c r="I29" i="29" s="1"/>
  <c r="I129" i="9"/>
  <c r="I59" i="29" s="1"/>
  <c r="H129" i="9"/>
  <c r="F239" i="9"/>
  <c r="D239" i="9"/>
  <c r="F238" i="9"/>
  <c r="D238" i="9"/>
  <c r="E33" i="9"/>
  <c r="D225" i="9"/>
  <c r="D246" i="9" s="1"/>
  <c r="D224" i="9"/>
  <c r="R180" i="9"/>
  <c r="M181" i="9"/>
  <c r="M180" i="9"/>
  <c r="M178" i="9"/>
  <c r="W180" i="9"/>
  <c r="G180" i="9"/>
  <c r="H180" i="9" s="1"/>
  <c r="Q65" i="9"/>
  <c r="M65" i="9"/>
  <c r="L65" i="9"/>
  <c r="E130" i="9"/>
  <c r="L33" i="9"/>
  <c r="F5" i="29" l="1"/>
  <c r="B4" i="16"/>
  <c r="F9" i="29"/>
  <c r="B8" i="16"/>
  <c r="F34" i="29"/>
  <c r="B25" i="16"/>
  <c r="F38" i="29"/>
  <c r="B29" i="16"/>
  <c r="F48" i="29"/>
  <c r="B35" i="16"/>
  <c r="F52" i="29"/>
  <c r="B39" i="16"/>
  <c r="F85" i="29"/>
  <c r="B64" i="16"/>
  <c r="F42" i="29"/>
  <c r="B33" i="16"/>
  <c r="F53" i="29"/>
  <c r="B40" i="16"/>
  <c r="F57" i="29"/>
  <c r="B44" i="16"/>
  <c r="F64" i="29"/>
  <c r="B47" i="16"/>
  <c r="F68" i="29"/>
  <c r="B51" i="16"/>
  <c r="F73" i="29"/>
  <c r="B55" i="16"/>
  <c r="F80" i="29"/>
  <c r="B58" i="16"/>
  <c r="F13" i="29"/>
  <c r="B12" i="16"/>
  <c r="E12" i="16" s="1"/>
  <c r="F6" i="29"/>
  <c r="B5" i="16"/>
  <c r="F10" i="29"/>
  <c r="B9" i="16"/>
  <c r="F28" i="29"/>
  <c r="B23" i="16"/>
  <c r="F35" i="29"/>
  <c r="B26" i="16"/>
  <c r="F39" i="29"/>
  <c r="B30" i="16"/>
  <c r="F30" i="16" s="1"/>
  <c r="F49" i="29"/>
  <c r="B36" i="16"/>
  <c r="F83" i="29"/>
  <c r="B61" i="16"/>
  <c r="F86" i="29"/>
  <c r="B65" i="16"/>
  <c r="F65" i="16" s="1"/>
  <c r="F24" i="29"/>
  <c r="B19" i="16"/>
  <c r="F15" i="29"/>
  <c r="B14" i="16"/>
  <c r="H14" i="16" s="1"/>
  <c r="F21" i="29"/>
  <c r="B16" i="16"/>
  <c r="F25" i="29"/>
  <c r="B20" i="16"/>
  <c r="F43" i="29"/>
  <c r="B34" i="16"/>
  <c r="F54" i="29"/>
  <c r="B41" i="16"/>
  <c r="F58" i="29"/>
  <c r="B45" i="16"/>
  <c r="F65" i="29"/>
  <c r="B48" i="16"/>
  <c r="F69" i="29"/>
  <c r="B52" i="16"/>
  <c r="F81" i="29"/>
  <c r="B59" i="16"/>
  <c r="F87" i="29"/>
  <c r="B66" i="16"/>
  <c r="F88" i="29"/>
  <c r="B67" i="16"/>
  <c r="F3" i="29"/>
  <c r="B2" i="16"/>
  <c r="F7" i="29"/>
  <c r="B6" i="16"/>
  <c r="F11" i="29"/>
  <c r="B10" i="16"/>
  <c r="F29" i="29"/>
  <c r="B24" i="16"/>
  <c r="F24" i="16" s="1"/>
  <c r="F36" i="29"/>
  <c r="B27" i="16"/>
  <c r="F40" i="29"/>
  <c r="B31" i="16"/>
  <c r="F50" i="29"/>
  <c r="B37" i="16"/>
  <c r="F84" i="29"/>
  <c r="B62" i="16"/>
  <c r="F62" i="16" s="1"/>
  <c r="F89" i="29"/>
  <c r="B68" i="16"/>
  <c r="F16" i="29"/>
  <c r="B15" i="16"/>
  <c r="F22" i="29"/>
  <c r="B17" i="16"/>
  <c r="F26" i="29"/>
  <c r="B21" i="16"/>
  <c r="H21" i="16" s="1"/>
  <c r="F55" i="29"/>
  <c r="B42" i="16"/>
  <c r="F59" i="29"/>
  <c r="B46" i="16"/>
  <c r="F66" i="29"/>
  <c r="B49" i="16"/>
  <c r="F71" i="29"/>
  <c r="B53" i="16"/>
  <c r="F78" i="29"/>
  <c r="B56" i="16"/>
  <c r="F4" i="29"/>
  <c r="B3" i="16"/>
  <c r="F8" i="29"/>
  <c r="B7" i="16"/>
  <c r="F37" i="29"/>
  <c r="B28" i="16"/>
  <c r="F41" i="29"/>
  <c r="B32" i="16"/>
  <c r="H32" i="16" s="1"/>
  <c r="F51" i="29"/>
  <c r="B38" i="16"/>
  <c r="F82" i="29"/>
  <c r="B60" i="16"/>
  <c r="B63" i="16"/>
  <c r="E63" i="16" s="1"/>
  <c r="F12" i="29"/>
  <c r="B11" i="16"/>
  <c r="F23" i="29"/>
  <c r="B18" i="16"/>
  <c r="F27" i="29"/>
  <c r="B22" i="16"/>
  <c r="H22" i="16" s="1"/>
  <c r="F56" i="29"/>
  <c r="B43" i="16"/>
  <c r="F67" i="29"/>
  <c r="B50" i="16"/>
  <c r="F72" i="29"/>
  <c r="B54" i="16"/>
  <c r="F79" i="29"/>
  <c r="B57" i="16"/>
  <c r="H83" i="29"/>
  <c r="J129" i="9"/>
  <c r="I180" i="9"/>
  <c r="D226" i="9"/>
  <c r="D227" i="9"/>
  <c r="F224" i="9"/>
  <c r="F225" i="9"/>
  <c r="V130" i="9"/>
  <c r="Q130" i="9"/>
  <c r="M130" i="9"/>
  <c r="L130" i="9"/>
  <c r="AF130" i="9"/>
  <c r="AE130" i="9"/>
  <c r="F130" i="9"/>
  <c r="W122" i="9"/>
  <c r="G122" i="9"/>
  <c r="AI90" i="9"/>
  <c r="B56" i="30" s="1"/>
  <c r="AI154" i="9"/>
  <c r="B120" i="30" s="1"/>
  <c r="F199" i="9"/>
  <c r="W181" i="9"/>
  <c r="R181" i="9"/>
  <c r="G181" i="9"/>
  <c r="D68" i="16" l="1"/>
  <c r="F68" i="16"/>
  <c r="E68" i="16"/>
  <c r="G68" i="16"/>
  <c r="D15" i="16"/>
  <c r="B69" i="16"/>
  <c r="F34" i="16"/>
  <c r="E34" i="16"/>
  <c r="G67" i="16"/>
  <c r="F67" i="16"/>
  <c r="E67" i="16"/>
  <c r="D55" i="16"/>
  <c r="F64" i="16"/>
  <c r="E64" i="16"/>
  <c r="D34" i="16"/>
  <c r="G66" i="16"/>
  <c r="F66" i="16"/>
  <c r="E66" i="16"/>
  <c r="F45" i="16"/>
  <c r="E45" i="16"/>
  <c r="D24" i="16"/>
  <c r="F23" i="16"/>
  <c r="E23" i="16"/>
  <c r="E44" i="16"/>
  <c r="F44" i="16"/>
  <c r="F15" i="16"/>
  <c r="E15" i="16"/>
  <c r="D46" i="16"/>
  <c r="F54" i="16"/>
  <c r="E54" i="16"/>
  <c r="I122" i="9"/>
  <c r="I57" i="29" s="1"/>
  <c r="H57" i="29"/>
  <c r="J180" i="9"/>
  <c r="I83" i="29"/>
  <c r="I181" i="9"/>
  <c r="H84" i="29"/>
  <c r="H122" i="9"/>
  <c r="H181" i="9"/>
  <c r="D204" i="9"/>
  <c r="W81" i="9"/>
  <c r="R81" i="9"/>
  <c r="M81" i="9"/>
  <c r="J181" i="9" l="1"/>
  <c r="I84" i="29"/>
  <c r="J122" i="9"/>
  <c r="Q199" i="9" l="1"/>
  <c r="M199" i="9"/>
  <c r="L199" i="9"/>
  <c r="E199" i="9"/>
  <c r="W188" i="9"/>
  <c r="R188" i="9"/>
  <c r="R199" i="9" s="1"/>
  <c r="G188" i="9"/>
  <c r="W177" i="9"/>
  <c r="E182" i="9"/>
  <c r="AI123" i="9"/>
  <c r="B89" i="30" s="1"/>
  <c r="W115" i="9"/>
  <c r="G115" i="9"/>
  <c r="AB163" i="9"/>
  <c r="AA163" i="9"/>
  <c r="V163" i="9"/>
  <c r="Q163" i="9"/>
  <c r="M163" i="9"/>
  <c r="L163" i="9"/>
  <c r="F163" i="9"/>
  <c r="E163" i="9"/>
  <c r="AI56" i="9"/>
  <c r="B22" i="30" s="1"/>
  <c r="I115" i="9" l="1"/>
  <c r="H55" i="29"/>
  <c r="I188" i="9"/>
  <c r="H85" i="29"/>
  <c r="H188" i="9"/>
  <c r="H115" i="9"/>
  <c r="W154" i="9"/>
  <c r="R154" i="9"/>
  <c r="G154" i="9"/>
  <c r="H72" i="29" s="1"/>
  <c r="W114" i="9"/>
  <c r="G114" i="9"/>
  <c r="W113" i="9"/>
  <c r="E120" i="9"/>
  <c r="D223" i="9" s="1"/>
  <c r="W123" i="9"/>
  <c r="R123" i="9"/>
  <c r="G123" i="9"/>
  <c r="H58" i="29" s="1"/>
  <c r="V95" i="9"/>
  <c r="Q95" i="9"/>
  <c r="L95" i="9"/>
  <c r="F95" i="9"/>
  <c r="E95" i="9"/>
  <c r="E87" i="9"/>
  <c r="E76" i="9"/>
  <c r="W90" i="9"/>
  <c r="R90" i="9"/>
  <c r="G90" i="9"/>
  <c r="H43" i="29" s="1"/>
  <c r="W56" i="9"/>
  <c r="G56" i="9"/>
  <c r="H28" i="29" s="1"/>
  <c r="W32" i="9"/>
  <c r="R32" i="9"/>
  <c r="AF65" i="9"/>
  <c r="AE65" i="9"/>
  <c r="V65" i="9"/>
  <c r="F65" i="9"/>
  <c r="E65" i="9"/>
  <c r="E53" i="9"/>
  <c r="V49" i="9"/>
  <c r="Q49" i="9"/>
  <c r="M49" i="9"/>
  <c r="L49" i="9"/>
  <c r="F49" i="9"/>
  <c r="E49" i="9"/>
  <c r="V45" i="9"/>
  <c r="L45" i="9"/>
  <c r="E45" i="9"/>
  <c r="V33" i="9"/>
  <c r="Q33" i="9"/>
  <c r="F33" i="9"/>
  <c r="E16" i="9"/>
  <c r="V16" i="9"/>
  <c r="Q16" i="9"/>
  <c r="L16" i="9"/>
  <c r="F16" i="9"/>
  <c r="V11" i="9"/>
  <c r="Q11" i="9"/>
  <c r="L11" i="9"/>
  <c r="E11" i="9"/>
  <c r="W147" i="9"/>
  <c r="R147" i="9"/>
  <c r="G147" i="9"/>
  <c r="H68" i="29" s="1"/>
  <c r="M152" i="9"/>
  <c r="G152" i="9"/>
  <c r="W86" i="9"/>
  <c r="R86" i="9"/>
  <c r="M86" i="9"/>
  <c r="M95" i="9" s="1"/>
  <c r="G86" i="9"/>
  <c r="W84" i="9"/>
  <c r="G84" i="9"/>
  <c r="R85" i="9"/>
  <c r="J85" i="9"/>
  <c r="G85" i="9"/>
  <c r="H41" i="29" s="1"/>
  <c r="L87" i="9"/>
  <c r="W29" i="9"/>
  <c r="W30" i="9" s="1"/>
  <c r="G29" i="9"/>
  <c r="R19" i="9"/>
  <c r="J19" i="9"/>
  <c r="G19" i="9"/>
  <c r="H11" i="29" s="1"/>
  <c r="E24" i="9"/>
  <c r="F24" i="9"/>
  <c r="W20" i="9"/>
  <c r="F245" i="9" s="1"/>
  <c r="M20" i="9"/>
  <c r="G20" i="9"/>
  <c r="E3" i="23" s="1"/>
  <c r="E34" i="9" l="1"/>
  <c r="H15" i="29"/>
  <c r="G30" i="9"/>
  <c r="W163" i="9"/>
  <c r="R163" i="9"/>
  <c r="I20" i="9"/>
  <c r="G3" i="23" s="1"/>
  <c r="H12" i="29"/>
  <c r="I86" i="9"/>
  <c r="H42" i="29"/>
  <c r="J188" i="9"/>
  <c r="I85" i="29"/>
  <c r="I152" i="9"/>
  <c r="H71" i="29"/>
  <c r="H84" i="9"/>
  <c r="H40" i="29"/>
  <c r="I114" i="9"/>
  <c r="H54" i="29"/>
  <c r="J115" i="9"/>
  <c r="I55" i="29"/>
  <c r="D237" i="9"/>
  <c r="I29" i="9"/>
  <c r="R130" i="9"/>
  <c r="I147" i="9"/>
  <c r="I68" i="29" s="1"/>
  <c r="G163" i="9"/>
  <c r="H123" i="9"/>
  <c r="H154" i="9"/>
  <c r="I154" i="9"/>
  <c r="I123" i="9"/>
  <c r="I58" i="29" s="1"/>
  <c r="H114" i="9"/>
  <c r="E66" i="9"/>
  <c r="D30" i="29" s="1"/>
  <c r="G30" i="29" s="1"/>
  <c r="N32" i="29" s="1"/>
  <c r="U4" i="29" s="1"/>
  <c r="L66" i="9"/>
  <c r="K30" i="29" s="1"/>
  <c r="D17" i="29"/>
  <c r="G17" i="29" s="1"/>
  <c r="G95" i="9"/>
  <c r="H90" i="9"/>
  <c r="I90" i="9"/>
  <c r="R33" i="9"/>
  <c r="W95" i="9"/>
  <c r="R95" i="9"/>
  <c r="I56" i="9"/>
  <c r="H56" i="9"/>
  <c r="W65" i="9"/>
  <c r="H147" i="9"/>
  <c r="H152" i="9"/>
  <c r="H86" i="9"/>
  <c r="I84" i="9"/>
  <c r="H29" i="9"/>
  <c r="H30" i="9" s="1"/>
  <c r="H20" i="9"/>
  <c r="F3" i="23" s="1"/>
  <c r="I15" i="29" l="1"/>
  <c r="I30" i="9"/>
  <c r="O19" i="29"/>
  <c r="V3" i="29" s="1"/>
  <c r="N19" i="29"/>
  <c r="U3" i="29" s="1"/>
  <c r="K32" i="29"/>
  <c r="R4" i="29" s="1"/>
  <c r="H163" i="9"/>
  <c r="J114" i="9"/>
  <c r="I54" i="29"/>
  <c r="J86" i="9"/>
  <c r="I42" i="29"/>
  <c r="J56" i="9"/>
  <c r="I28" i="29"/>
  <c r="J84" i="9"/>
  <c r="I40" i="29"/>
  <c r="J90" i="9"/>
  <c r="I43" i="29"/>
  <c r="J154" i="9"/>
  <c r="I72" i="29"/>
  <c r="J152" i="9"/>
  <c r="I71" i="29"/>
  <c r="J20" i="9"/>
  <c r="H3" i="23" s="1"/>
  <c r="I12" i="29"/>
  <c r="J29" i="9"/>
  <c r="J30" i="9" s="1"/>
  <c r="J147" i="9"/>
  <c r="I163" i="9"/>
  <c r="J123" i="9"/>
  <c r="H95" i="9"/>
  <c r="I95" i="9"/>
  <c r="I65" i="9"/>
  <c r="H65" i="9"/>
  <c r="G32" i="9"/>
  <c r="H16" i="29" s="1"/>
  <c r="V53" i="9"/>
  <c r="V66" i="9" s="1"/>
  <c r="M30" i="29" s="1"/>
  <c r="M32" i="29" s="1"/>
  <c r="T4" i="29" s="1"/>
  <c r="Q53" i="9"/>
  <c r="F53" i="9"/>
  <c r="AJ14" i="9"/>
  <c r="R52" i="9"/>
  <c r="J52" i="9"/>
  <c r="G52" i="9"/>
  <c r="W51" i="9"/>
  <c r="W53" i="9" s="1"/>
  <c r="G51" i="9"/>
  <c r="W14" i="9"/>
  <c r="R14" i="9"/>
  <c r="M14" i="9"/>
  <c r="G14" i="9"/>
  <c r="W18" i="9"/>
  <c r="W33" i="9" s="1"/>
  <c r="M18" i="9"/>
  <c r="M33" i="9" s="1"/>
  <c r="G18" i="9"/>
  <c r="H10" i="29" s="1"/>
  <c r="I51" i="9" l="1"/>
  <c r="H26" i="29"/>
  <c r="J163" i="9"/>
  <c r="G65" i="9"/>
  <c r="H27" i="29"/>
  <c r="J95" i="9"/>
  <c r="J65" i="9"/>
  <c r="I14" i="9"/>
  <c r="H8" i="29"/>
  <c r="I18" i="9"/>
  <c r="I10" i="29" s="1"/>
  <c r="G33" i="9"/>
  <c r="R53" i="9"/>
  <c r="R65" i="9"/>
  <c r="I32" i="9"/>
  <c r="I16" i="29" s="1"/>
  <c r="G53" i="9"/>
  <c r="H32" i="9"/>
  <c r="H51" i="9"/>
  <c r="H14" i="9"/>
  <c r="H18" i="9"/>
  <c r="J51" i="9" l="1"/>
  <c r="I26" i="29"/>
  <c r="H53" i="9"/>
  <c r="J14" i="9"/>
  <c r="I8" i="29"/>
  <c r="I53" i="9"/>
  <c r="H33" i="9"/>
  <c r="J18" i="9"/>
  <c r="I33" i="9"/>
  <c r="J32" i="9"/>
  <c r="AJ15" i="9"/>
  <c r="J53" i="9" l="1"/>
  <c r="J33" i="9"/>
  <c r="M204" i="9"/>
  <c r="I204" i="9"/>
  <c r="N14" i="18" l="1"/>
  <c r="O14" i="18" l="1"/>
  <c r="AI28" i="25"/>
  <c r="R31" i="25"/>
  <c r="R28" i="25"/>
  <c r="AE31" i="25"/>
  <c r="AI31" i="25" s="1"/>
  <c r="C9" i="25"/>
  <c r="C13" i="25" s="1"/>
  <c r="C8" i="25"/>
  <c r="C7" i="25"/>
  <c r="C6" i="25"/>
  <c r="C5" i="25"/>
  <c r="C4" i="25"/>
  <c r="C3" i="25"/>
  <c r="R2" i="25"/>
  <c r="Q2" i="25"/>
  <c r="P2" i="25"/>
  <c r="O2" i="25"/>
  <c r="N2" i="25"/>
  <c r="M2" i="25"/>
  <c r="L2" i="25"/>
  <c r="K2" i="25"/>
  <c r="J2" i="25"/>
  <c r="I2" i="25"/>
  <c r="H2" i="25"/>
  <c r="G2" i="25"/>
  <c r="F2" i="25"/>
  <c r="E2" i="25"/>
  <c r="D2" i="25"/>
  <c r="R32" i="25" l="1"/>
  <c r="R14" i="18"/>
  <c r="S14" i="18" s="1"/>
  <c r="Q14" i="18"/>
  <c r="P14" i="18"/>
  <c r="AI32" i="25"/>
  <c r="C16" i="25"/>
  <c r="B11" i="14" l="1"/>
  <c r="B85" i="22" l="1"/>
  <c r="B5" i="22"/>
  <c r="W10" i="9"/>
  <c r="M177" i="9"/>
  <c r="G177" i="9"/>
  <c r="I177" i="9" l="1"/>
  <c r="H80" i="29"/>
  <c r="H177" i="9"/>
  <c r="B77" i="21"/>
  <c r="C14" i="18"/>
  <c r="B14" i="18"/>
  <c r="G178" i="9"/>
  <c r="H81" i="29" s="1"/>
  <c r="J177" i="9" l="1"/>
  <c r="I80" i="29"/>
  <c r="F15" i="18"/>
  <c r="G15" i="18" s="1"/>
  <c r="F14" i="18"/>
  <c r="G14" i="18" s="1"/>
  <c r="J178" i="9"/>
  <c r="I3" i="22"/>
  <c r="L8" i="22"/>
  <c r="K8" i="22"/>
  <c r="L7" i="22"/>
  <c r="K7" i="22"/>
  <c r="L6" i="22"/>
  <c r="K6" i="22"/>
  <c r="L5" i="22"/>
  <c r="K5" i="22"/>
  <c r="J8" i="22"/>
  <c r="I8" i="22"/>
  <c r="J7" i="22"/>
  <c r="I7" i="22"/>
  <c r="J6" i="22"/>
  <c r="I6" i="22"/>
  <c r="J5" i="22"/>
  <c r="I5" i="22"/>
  <c r="L4" i="22"/>
  <c r="K4" i="22"/>
  <c r="J4" i="22"/>
  <c r="L3" i="22"/>
  <c r="K3" i="22"/>
  <c r="J3" i="22"/>
  <c r="I4" i="22"/>
  <c r="G82" i="22"/>
  <c r="F82" i="22"/>
  <c r="E82" i="22"/>
  <c r="G67" i="22"/>
  <c r="F67" i="22"/>
  <c r="E67" i="22"/>
  <c r="G53" i="22"/>
  <c r="F53" i="22"/>
  <c r="E53" i="22"/>
  <c r="G36" i="22"/>
  <c r="F36" i="22"/>
  <c r="E36" i="22"/>
  <c r="G20" i="22"/>
  <c r="F20" i="22"/>
  <c r="E20" i="22"/>
  <c r="G3" i="22"/>
  <c r="F3" i="22"/>
  <c r="E3" i="22"/>
  <c r="H15" i="18" l="1"/>
  <c r="I15" i="18"/>
  <c r="I14" i="18"/>
  <c r="H14" i="18"/>
  <c r="L9" i="22"/>
  <c r="K9" i="22"/>
  <c r="J9" i="22"/>
  <c r="W47" i="9"/>
  <c r="W49" i="9" s="1"/>
  <c r="K10" i="22" l="1"/>
  <c r="J10" i="22"/>
  <c r="L10" i="22"/>
  <c r="B78" i="21" l="1"/>
  <c r="C31" i="20" l="1"/>
  <c r="C32" i="20" s="1"/>
  <c r="G60" i="16"/>
  <c r="G56" i="16"/>
  <c r="F51" i="16"/>
  <c r="E50" i="16"/>
  <c r="H42" i="16"/>
  <c r="E8" i="16"/>
  <c r="K204" i="9" l="1"/>
  <c r="D260" i="9"/>
  <c r="R21" i="9"/>
  <c r="M21" i="9"/>
  <c r="G21" i="9"/>
  <c r="V196" i="9"/>
  <c r="M87" i="29" l="1"/>
  <c r="W196" i="9"/>
  <c r="H21" i="9"/>
  <c r="H13" i="29"/>
  <c r="V199" i="9"/>
  <c r="E4" i="18"/>
  <c r="F4" i="18" s="1"/>
  <c r="G4" i="18" s="1"/>
  <c r="H4" i="18" s="1"/>
  <c r="D261" i="9"/>
  <c r="O204" i="9"/>
  <c r="I21" i="9"/>
  <c r="J21" i="9" l="1"/>
  <c r="I13" i="29"/>
  <c r="E5" i="18"/>
  <c r="G83" i="9"/>
  <c r="G112" i="9"/>
  <c r="F228" i="9"/>
  <c r="F226" i="9"/>
  <c r="F230" i="9"/>
  <c r="F229" i="9"/>
  <c r="D228" i="9"/>
  <c r="D236" i="9" s="1"/>
  <c r="D229" i="9"/>
  <c r="AF219" i="9"/>
  <c r="AH219" i="9" s="1"/>
  <c r="J64" i="9"/>
  <c r="H64" i="9"/>
  <c r="V120" i="9"/>
  <c r="Q120" i="9"/>
  <c r="L120" i="9"/>
  <c r="F120" i="9"/>
  <c r="W118" i="9"/>
  <c r="W130" i="9" s="1"/>
  <c r="G118" i="9"/>
  <c r="H56" i="29" s="1"/>
  <c r="F223" i="9" l="1"/>
  <c r="F237" i="9" s="1"/>
  <c r="D11" i="14" s="1"/>
  <c r="H83" i="9"/>
  <c r="H39" i="29"/>
  <c r="I112" i="9"/>
  <c r="H52" i="29"/>
  <c r="G130" i="9"/>
  <c r="I118" i="9"/>
  <c r="I56" i="29" s="1"/>
  <c r="M120" i="9"/>
  <c r="R120" i="9"/>
  <c r="W120" i="9"/>
  <c r="H112" i="9"/>
  <c r="I83" i="9"/>
  <c r="G120" i="9"/>
  <c r="H118" i="9"/>
  <c r="AF221" i="9"/>
  <c r="AH221" i="9" s="1"/>
  <c r="E149" i="9"/>
  <c r="W198" i="9"/>
  <c r="W111" i="9"/>
  <c r="M15" i="9"/>
  <c r="W15" i="9"/>
  <c r="R15" i="9"/>
  <c r="G15" i="9"/>
  <c r="J112" i="9" l="1"/>
  <c r="I52" i="29"/>
  <c r="H67" i="29"/>
  <c r="I130" i="9"/>
  <c r="H130" i="9"/>
  <c r="H88" i="29"/>
  <c r="I15" i="9"/>
  <c r="H9" i="29"/>
  <c r="I198" i="9"/>
  <c r="I89" i="29" s="1"/>
  <c r="H89" i="29"/>
  <c r="J83" i="9"/>
  <c r="I39" i="29"/>
  <c r="W199" i="9"/>
  <c r="H120" i="9"/>
  <c r="J118" i="9"/>
  <c r="I120" i="9"/>
  <c r="H15" i="9"/>
  <c r="I88" i="29" l="1"/>
  <c r="I67" i="29"/>
  <c r="J130" i="9"/>
  <c r="J15" i="9"/>
  <c r="I9" i="29"/>
  <c r="J120" i="9"/>
  <c r="A15" i="16"/>
  <c r="V87" i="9"/>
  <c r="Q87" i="9"/>
  <c r="AB161" i="9"/>
  <c r="AB164" i="9" s="1"/>
  <c r="AA161" i="9"/>
  <c r="AA164" i="9" l="1"/>
  <c r="N74" i="29" s="1"/>
  <c r="N73" i="29"/>
  <c r="W82" i="9"/>
  <c r="B1" i="16" l="1"/>
  <c r="G4" i="16"/>
  <c r="AB194" i="9"/>
  <c r="AB200" i="9" s="1"/>
  <c r="AA194" i="9"/>
  <c r="AA200" i="9" s="1"/>
  <c r="E7" i="16"/>
  <c r="N90" i="29" l="1"/>
  <c r="N86" i="29"/>
  <c r="AB199" i="9"/>
  <c r="AA199" i="9"/>
  <c r="G27" i="16"/>
  <c r="E28" i="16"/>
  <c r="E29" i="16"/>
  <c r="H31" i="16"/>
  <c r="F61" i="16"/>
  <c r="H59" i="16"/>
  <c r="G58" i="16"/>
  <c r="E57" i="16"/>
  <c r="E55" i="16"/>
  <c r="H53" i="16"/>
  <c r="H52" i="16"/>
  <c r="E49" i="16"/>
  <c r="F48" i="16"/>
  <c r="F46" i="16"/>
  <c r="F43" i="16"/>
  <c r="F41" i="16"/>
  <c r="F40" i="16"/>
  <c r="E39" i="16"/>
  <c r="F38" i="16"/>
  <c r="E37" i="16"/>
  <c r="F36" i="16"/>
  <c r="E35" i="16"/>
  <c r="F33" i="16"/>
  <c r="G26" i="16"/>
  <c r="E25" i="16"/>
  <c r="F20" i="16"/>
  <c r="G19" i="16"/>
  <c r="G18" i="16"/>
  <c r="E17" i="16"/>
  <c r="H11" i="16"/>
  <c r="H10" i="16"/>
  <c r="E9" i="16"/>
  <c r="F6" i="16"/>
  <c r="G5" i="16"/>
  <c r="E3" i="16"/>
  <c r="A1" i="16"/>
  <c r="F69" i="16" l="1"/>
  <c r="G2" i="16"/>
  <c r="G69" i="16" s="1"/>
  <c r="E47" i="16"/>
  <c r="E16" i="16"/>
  <c r="H69" i="16"/>
  <c r="E69" i="16" l="1"/>
  <c r="J69" i="16" s="1"/>
  <c r="G71" i="16"/>
  <c r="F70" i="16"/>
  <c r="H70" i="16"/>
  <c r="D69" i="16"/>
  <c r="E116" i="9"/>
  <c r="D222" i="9" s="1"/>
  <c r="E71" i="16" l="1"/>
  <c r="E70" i="16"/>
  <c r="G70" i="16"/>
  <c r="F71" i="16"/>
  <c r="J71" i="16" l="1"/>
  <c r="J70" i="16"/>
  <c r="W175" i="9"/>
  <c r="G161" i="9"/>
  <c r="I161" i="9" l="1"/>
  <c r="H73" i="29"/>
  <c r="H161" i="9"/>
  <c r="F5" i="18"/>
  <c r="G5" i="18" s="1"/>
  <c r="J161" i="9" l="1"/>
  <c r="I73" i="29"/>
  <c r="I5" i="18"/>
  <c r="H5" i="18"/>
  <c r="I4" i="18" l="1"/>
  <c r="G194" i="9"/>
  <c r="H86" i="29" s="1"/>
  <c r="I194" i="9" l="1"/>
  <c r="I86" i="29" s="1"/>
  <c r="H194" i="9"/>
  <c r="F76" i="9" l="1"/>
  <c r="W42" i="9"/>
  <c r="R42" i="9"/>
  <c r="M42" i="9"/>
  <c r="G42" i="9"/>
  <c r="H42" i="9" l="1"/>
  <c r="H22" i="29"/>
  <c r="I42" i="9"/>
  <c r="J42" i="9" l="1"/>
  <c r="I22" i="29"/>
  <c r="R83" i="9"/>
  <c r="R215" i="9" l="1"/>
  <c r="AE64" i="9" l="1"/>
  <c r="AE129" i="9"/>
  <c r="W112" i="9"/>
  <c r="AE131" i="9" l="1"/>
  <c r="O60" i="29" s="1"/>
  <c r="O59" i="29"/>
  <c r="AE66" i="9"/>
  <c r="O30" i="29" s="1"/>
  <c r="O29" i="29"/>
  <c r="V182" i="9"/>
  <c r="O32" i="29" l="1"/>
  <c r="V4" i="29" s="1"/>
  <c r="R218" i="9"/>
  <c r="R217" i="9"/>
  <c r="R219" i="9"/>
  <c r="R216" i="9" l="1"/>
  <c r="R175" i="9"/>
  <c r="M175" i="9"/>
  <c r="W172" i="9"/>
  <c r="R172" i="9"/>
  <c r="M172" i="9"/>
  <c r="W148" i="9"/>
  <c r="R143" i="9"/>
  <c r="M143" i="9"/>
  <c r="W142" i="9"/>
  <c r="M142" i="9"/>
  <c r="W139" i="9"/>
  <c r="M139" i="9"/>
  <c r="AF129" i="9"/>
  <c r="AF131" i="9" s="1"/>
  <c r="R113" i="9"/>
  <c r="M113" i="9"/>
  <c r="R111" i="9"/>
  <c r="W107" i="9"/>
  <c r="W104" i="9"/>
  <c r="M104" i="9"/>
  <c r="R107" i="9"/>
  <c r="M107" i="9"/>
  <c r="R82" i="9"/>
  <c r="M82" i="9"/>
  <c r="W78" i="9"/>
  <c r="R78" i="9"/>
  <c r="M78" i="9"/>
  <c r="W75" i="9"/>
  <c r="W74" i="9"/>
  <c r="R75" i="9"/>
  <c r="R74" i="9"/>
  <c r="M75" i="9"/>
  <c r="M74" i="9"/>
  <c r="AF64" i="9"/>
  <c r="AF66" i="9" s="1"/>
  <c r="R47" i="9"/>
  <c r="R49" i="9" s="1"/>
  <c r="W44" i="9"/>
  <c r="W43" i="9"/>
  <c r="W41" i="9"/>
  <c r="R44" i="9"/>
  <c r="R43" i="9"/>
  <c r="R41" i="9"/>
  <c r="M44" i="9"/>
  <c r="M43" i="9"/>
  <c r="M41" i="9"/>
  <c r="R13" i="9"/>
  <c r="R16" i="9" s="1"/>
  <c r="W13" i="9"/>
  <c r="W16" i="9" s="1"/>
  <c r="M13" i="9"/>
  <c r="M16" i="9" s="1"/>
  <c r="W9" i="9"/>
  <c r="W8" i="9"/>
  <c r="R10" i="9"/>
  <c r="R9" i="9"/>
  <c r="R8" i="9"/>
  <c r="M9" i="9"/>
  <c r="M8" i="9"/>
  <c r="W7" i="9"/>
  <c r="M7" i="9"/>
  <c r="M11" i="9" l="1"/>
  <c r="W11" i="9"/>
  <c r="R11" i="9"/>
  <c r="Q182" i="9"/>
  <c r="L182" i="9"/>
  <c r="F182" i="9"/>
  <c r="N213" i="9"/>
  <c r="N212" i="9"/>
  <c r="N211" i="9"/>
  <c r="N210" i="9"/>
  <c r="P210" i="9"/>
  <c r="P3" i="25" s="1"/>
  <c r="P212" i="9"/>
  <c r="P5" i="25" s="1"/>
  <c r="P214" i="9"/>
  <c r="P7" i="25" s="1"/>
  <c r="P215" i="9"/>
  <c r="P8" i="25" s="1"/>
  <c r="W182" i="9" l="1"/>
  <c r="L8" i="13"/>
  <c r="N6" i="25"/>
  <c r="L6" i="13"/>
  <c r="N4" i="25"/>
  <c r="L7" i="13"/>
  <c r="N5" i="25"/>
  <c r="L5" i="13"/>
  <c r="N3" i="25"/>
  <c r="R182" i="9"/>
  <c r="M182" i="9"/>
  <c r="N217" i="9"/>
  <c r="L12" i="13" s="1"/>
  <c r="N218" i="9"/>
  <c r="L13" i="13" s="1"/>
  <c r="P219" i="9"/>
  <c r="V24" i="9"/>
  <c r="V34" i="9" s="1"/>
  <c r="M17" i="29" s="1"/>
  <c r="M19" i="29" s="1"/>
  <c r="T3" i="29" s="1"/>
  <c r="L24" i="9"/>
  <c r="L34" i="9" s="1"/>
  <c r="Q24" i="9"/>
  <c r="Q34" i="9" s="1"/>
  <c r="L17" i="29" s="1"/>
  <c r="S3" i="29" l="1"/>
  <c r="L19" i="29"/>
  <c r="H210" i="9"/>
  <c r="K17" i="29"/>
  <c r="W24" i="9"/>
  <c r="W34" i="9" s="1"/>
  <c r="R24" i="9"/>
  <c r="R34" i="9" s="1"/>
  <c r="M24" i="9"/>
  <c r="M34" i="9" s="1"/>
  <c r="K19" i="29" l="1"/>
  <c r="R3" i="29" s="1"/>
  <c r="J36" i="11"/>
  <c r="R36" i="11" s="1"/>
  <c r="H36" i="11"/>
  <c r="J35" i="11"/>
  <c r="R35" i="11" s="1"/>
  <c r="H35" i="11"/>
  <c r="K34" i="11"/>
  <c r="J34" i="11"/>
  <c r="H34" i="11"/>
  <c r="J33" i="11"/>
  <c r="R33" i="11" s="1"/>
  <c r="W33" i="11" s="1"/>
  <c r="H33" i="11"/>
  <c r="K32" i="11"/>
  <c r="J32" i="11"/>
  <c r="H32" i="11"/>
  <c r="K31" i="11"/>
  <c r="J31" i="11"/>
  <c r="H31" i="11"/>
  <c r="J30" i="11"/>
  <c r="R30" i="11" s="1"/>
  <c r="H30" i="11"/>
  <c r="K29" i="11"/>
  <c r="J29" i="11"/>
  <c r="H29" i="11"/>
  <c r="K28" i="11"/>
  <c r="J28" i="11"/>
  <c r="H28" i="11"/>
  <c r="K27" i="11"/>
  <c r="J27" i="11"/>
  <c r="H27" i="11"/>
  <c r="J26" i="11"/>
  <c r="R26" i="11" s="1"/>
  <c r="H26" i="11"/>
  <c r="L25" i="11"/>
  <c r="K25" i="11"/>
  <c r="J25" i="11"/>
  <c r="H25" i="11"/>
  <c r="K24" i="11"/>
  <c r="J24" i="11"/>
  <c r="H24" i="11"/>
  <c r="J23" i="11"/>
  <c r="R23" i="11" s="1"/>
  <c r="H23" i="11"/>
  <c r="J22" i="11"/>
  <c r="R22" i="11" s="1"/>
  <c r="W22" i="11" s="1"/>
  <c r="H22" i="11"/>
  <c r="J21" i="11"/>
  <c r="R21" i="11" s="1"/>
  <c r="H21" i="11"/>
  <c r="J20" i="11"/>
  <c r="R20" i="11" s="1"/>
  <c r="H20" i="11"/>
  <c r="K19" i="11"/>
  <c r="J19" i="11"/>
  <c r="H19" i="11"/>
  <c r="M18" i="11"/>
  <c r="L18" i="11"/>
  <c r="K18" i="11"/>
  <c r="J18" i="11"/>
  <c r="H18" i="11"/>
  <c r="L17" i="11"/>
  <c r="K17" i="11"/>
  <c r="J17" i="11"/>
  <c r="H17" i="11"/>
  <c r="J16" i="11"/>
  <c r="R16" i="11" s="1"/>
  <c r="H16" i="11"/>
  <c r="J15" i="11"/>
  <c r="R15" i="11" s="1"/>
  <c r="W15" i="11" s="1"/>
  <c r="H15" i="11"/>
  <c r="K14" i="11"/>
  <c r="J14" i="11"/>
  <c r="H14" i="11"/>
  <c r="L13" i="11"/>
  <c r="K13" i="11"/>
  <c r="J13" i="11"/>
  <c r="H13" i="11"/>
  <c r="J12" i="11"/>
  <c r="R12" i="11" s="1"/>
  <c r="H12" i="11"/>
  <c r="K11" i="11"/>
  <c r="J11" i="11"/>
  <c r="H11" i="11"/>
  <c r="K10" i="11"/>
  <c r="J10" i="11"/>
  <c r="H10" i="11"/>
  <c r="J9" i="11"/>
  <c r="R9" i="11" s="1"/>
  <c r="W9" i="11" s="1"/>
  <c r="H9" i="11"/>
  <c r="AD8" i="11"/>
  <c r="K8" i="11"/>
  <c r="J8" i="11"/>
  <c r="H8" i="11"/>
  <c r="J7" i="11"/>
  <c r="R7" i="11" s="1"/>
  <c r="H7" i="11"/>
  <c r="AD6" i="11"/>
  <c r="Q6" i="11"/>
  <c r="P6" i="11"/>
  <c r="O6" i="11"/>
  <c r="N6" i="11"/>
  <c r="M6" i="11"/>
  <c r="L6" i="11"/>
  <c r="K6" i="11"/>
  <c r="J6" i="11"/>
  <c r="H6" i="11"/>
  <c r="J5" i="11"/>
  <c r="R5" i="11" s="1"/>
  <c r="H5" i="11"/>
  <c r="J4" i="11"/>
  <c r="R4" i="11" s="1"/>
  <c r="H4" i="11"/>
  <c r="J3" i="11"/>
  <c r="R3" i="11" s="1"/>
  <c r="H3" i="11"/>
  <c r="J2" i="11"/>
  <c r="R2" i="11" s="1"/>
  <c r="W2" i="11" s="1"/>
  <c r="H2" i="11"/>
  <c r="D13" i="14"/>
  <c r="B13" i="14"/>
  <c r="D12" i="14"/>
  <c r="B12" i="14"/>
  <c r="D230" i="9"/>
  <c r="F227" i="9"/>
  <c r="B6" i="14"/>
  <c r="B5" i="14"/>
  <c r="N10" i="13"/>
  <c r="N7" i="13"/>
  <c r="N215" i="9"/>
  <c r="G175" i="9"/>
  <c r="H79" i="29" s="1"/>
  <c r="V173" i="9"/>
  <c r="V200" i="9" s="1"/>
  <c r="Q173" i="9"/>
  <c r="L173" i="9"/>
  <c r="F173" i="9"/>
  <c r="E173" i="9"/>
  <c r="G172" i="9"/>
  <c r="N214" i="9"/>
  <c r="V149" i="9"/>
  <c r="Q149" i="9"/>
  <c r="L149" i="9"/>
  <c r="F149" i="9"/>
  <c r="G148" i="9"/>
  <c r="V144" i="9"/>
  <c r="Q144" i="9"/>
  <c r="L144" i="9"/>
  <c r="F144" i="9"/>
  <c r="E144" i="9"/>
  <c r="G143" i="9"/>
  <c r="G142" i="9"/>
  <c r="V140" i="9"/>
  <c r="V164" i="9" s="1"/>
  <c r="Q140" i="9"/>
  <c r="Q164" i="9" s="1"/>
  <c r="L140" i="9"/>
  <c r="L164" i="9" s="1"/>
  <c r="F140" i="9"/>
  <c r="F164" i="9" s="1"/>
  <c r="E140" i="9"/>
  <c r="E164" i="9" s="1"/>
  <c r="G139" i="9"/>
  <c r="H64" i="29" s="1"/>
  <c r="V116" i="9"/>
  <c r="Q116" i="9"/>
  <c r="L116" i="9"/>
  <c r="F116" i="9"/>
  <c r="G113" i="9"/>
  <c r="G111" i="9"/>
  <c r="H51" i="29" s="1"/>
  <c r="V109" i="9"/>
  <c r="Q109" i="9"/>
  <c r="L109" i="9"/>
  <c r="F109" i="9"/>
  <c r="E109" i="9"/>
  <c r="G108" i="9"/>
  <c r="G107" i="9"/>
  <c r="V105" i="9"/>
  <c r="Q105" i="9"/>
  <c r="L105" i="9"/>
  <c r="F105" i="9"/>
  <c r="E105" i="9"/>
  <c r="G104" i="9"/>
  <c r="F87" i="9"/>
  <c r="G82" i="9"/>
  <c r="H38" i="29" s="1"/>
  <c r="G81" i="9"/>
  <c r="H37" i="29" s="1"/>
  <c r="V79" i="9"/>
  <c r="Q79" i="9"/>
  <c r="L79" i="9"/>
  <c r="F79" i="9"/>
  <c r="E79" i="9"/>
  <c r="G78" i="9"/>
  <c r="V76" i="9"/>
  <c r="Q76" i="9"/>
  <c r="L76" i="9"/>
  <c r="G75" i="9"/>
  <c r="G74" i="9"/>
  <c r="P211" i="9"/>
  <c r="G47" i="9"/>
  <c r="Q45" i="9"/>
  <c r="Q66" i="9" s="1"/>
  <c r="L30" i="29" s="1"/>
  <c r="F45" i="9"/>
  <c r="F66" i="9" s="1"/>
  <c r="E30" i="29" s="1"/>
  <c r="F30" i="29" s="1"/>
  <c r="G44" i="9"/>
  <c r="G43" i="9"/>
  <c r="G41" i="9"/>
  <c r="G13" i="9"/>
  <c r="F11" i="9"/>
  <c r="G10" i="9"/>
  <c r="G9" i="9"/>
  <c r="G8" i="9"/>
  <c r="G7" i="9"/>
  <c r="E200" i="9" l="1"/>
  <c r="D90" i="29" s="1"/>
  <c r="G90" i="29" s="1"/>
  <c r="F200" i="9"/>
  <c r="E90" i="29" s="1"/>
  <c r="F90" i="29" s="1"/>
  <c r="L200" i="9"/>
  <c r="K90" i="29" s="1"/>
  <c r="Q200" i="9"/>
  <c r="L90" i="29" s="1"/>
  <c r="D241" i="9"/>
  <c r="S5" i="29"/>
  <c r="S4" i="29"/>
  <c r="S8" i="29"/>
  <c r="F240" i="9"/>
  <c r="D14" i="14" s="1"/>
  <c r="F241" i="9"/>
  <c r="K92" i="29"/>
  <c r="R8" i="29" s="1"/>
  <c r="O92" i="29"/>
  <c r="V8" i="29" s="1"/>
  <c r="N92" i="29"/>
  <c r="U8" i="29" s="1"/>
  <c r="L32" i="29"/>
  <c r="L92" i="29"/>
  <c r="D240" i="9"/>
  <c r="B14" i="14" s="1"/>
  <c r="M90" i="29"/>
  <c r="M92" i="29" s="1"/>
  <c r="T8" i="29" s="1"/>
  <c r="L215" i="9"/>
  <c r="I8" i="9"/>
  <c r="I4" i="29" s="1"/>
  <c r="H4" i="29"/>
  <c r="I113" i="9"/>
  <c r="H53" i="29"/>
  <c r="H172" i="9"/>
  <c r="H78" i="29"/>
  <c r="I9" i="9"/>
  <c r="H5" i="29"/>
  <c r="I78" i="9"/>
  <c r="J78" i="9" s="1"/>
  <c r="H36" i="29"/>
  <c r="F222" i="9"/>
  <c r="D4" i="14" s="1"/>
  <c r="H108" i="9"/>
  <c r="H50" i="29"/>
  <c r="G49" i="9"/>
  <c r="H25" i="29"/>
  <c r="H104" i="9"/>
  <c r="H48" i="29"/>
  <c r="G16" i="9"/>
  <c r="H7" i="29"/>
  <c r="I74" i="9"/>
  <c r="H34" i="29"/>
  <c r="H143" i="9"/>
  <c r="H66" i="29"/>
  <c r="H107" i="9"/>
  <c r="H49" i="29"/>
  <c r="I10" i="9"/>
  <c r="H6" i="29"/>
  <c r="H148" i="9"/>
  <c r="H69" i="29"/>
  <c r="I41" i="9"/>
  <c r="I21" i="29" s="1"/>
  <c r="H21" i="29"/>
  <c r="I75" i="9"/>
  <c r="H35" i="29"/>
  <c r="I142" i="9"/>
  <c r="I65" i="29" s="1"/>
  <c r="H65" i="29"/>
  <c r="I43" i="9"/>
  <c r="H23" i="29"/>
  <c r="H7" i="9"/>
  <c r="H3" i="29"/>
  <c r="I44" i="9"/>
  <c r="H24" i="29"/>
  <c r="K74" i="29"/>
  <c r="L74" i="29"/>
  <c r="M74" i="29"/>
  <c r="D221" i="9"/>
  <c r="D74" i="29"/>
  <c r="G74" i="29" s="1"/>
  <c r="E74" i="29"/>
  <c r="F74" i="29" s="1"/>
  <c r="F34" i="9"/>
  <c r="E17" i="29" s="1"/>
  <c r="F17" i="29" s="1"/>
  <c r="F220" i="9"/>
  <c r="F221" i="9"/>
  <c r="U227" i="9"/>
  <c r="F236" i="9"/>
  <c r="V131" i="9"/>
  <c r="M60" i="29" s="1"/>
  <c r="E131" i="9"/>
  <c r="D60" i="29" s="1"/>
  <c r="G60" i="29" s="1"/>
  <c r="D220" i="9"/>
  <c r="F131" i="9"/>
  <c r="E60" i="29" s="1"/>
  <c r="F60" i="29" s="1"/>
  <c r="L131" i="9"/>
  <c r="K60" i="29" s="1"/>
  <c r="Q131" i="9"/>
  <c r="L60" i="29" s="1"/>
  <c r="E96" i="9"/>
  <c r="D44" i="29" s="1"/>
  <c r="G44" i="29" s="1"/>
  <c r="L96" i="9"/>
  <c r="Q96" i="9"/>
  <c r="T26" i="11"/>
  <c r="G199" i="9"/>
  <c r="V96" i="9"/>
  <c r="M44" i="29" s="1"/>
  <c r="F96" i="9"/>
  <c r="W76" i="9"/>
  <c r="R76" i="9"/>
  <c r="D210" i="9"/>
  <c r="M76" i="9"/>
  <c r="J210" i="9"/>
  <c r="L210" i="9"/>
  <c r="L3" i="25" s="1"/>
  <c r="P217" i="9"/>
  <c r="P4" i="25"/>
  <c r="L10" i="13"/>
  <c r="N8" i="25"/>
  <c r="L9" i="13"/>
  <c r="N7" i="25"/>
  <c r="M105" i="9"/>
  <c r="W105" i="9"/>
  <c r="R45" i="9"/>
  <c r="R66" i="9" s="1"/>
  <c r="R109" i="9"/>
  <c r="W116" i="9"/>
  <c r="R140" i="9"/>
  <c r="M149" i="9"/>
  <c r="W144" i="9"/>
  <c r="R105" i="9"/>
  <c r="W109" i="9"/>
  <c r="W140" i="9"/>
  <c r="R149" i="9"/>
  <c r="W149" i="9"/>
  <c r="M45" i="9"/>
  <c r="M66" i="9" s="1"/>
  <c r="R87" i="9"/>
  <c r="W87" i="9"/>
  <c r="P213" i="9"/>
  <c r="W45" i="9"/>
  <c r="W66" i="9" s="1"/>
  <c r="R173" i="9"/>
  <c r="R200" i="9" s="1"/>
  <c r="R79" i="9"/>
  <c r="M116" i="9"/>
  <c r="M144" i="9"/>
  <c r="W173" i="9"/>
  <c r="W200" i="9" s="1"/>
  <c r="M87" i="9"/>
  <c r="M173" i="9"/>
  <c r="M200" i="9" s="1"/>
  <c r="M79" i="9"/>
  <c r="W79" i="9"/>
  <c r="M109" i="9"/>
  <c r="R116" i="9"/>
  <c r="M140" i="9"/>
  <c r="M164" i="9" s="1"/>
  <c r="R144" i="9"/>
  <c r="D215" i="9"/>
  <c r="D8" i="25" s="1"/>
  <c r="T5" i="11"/>
  <c r="H37" i="11"/>
  <c r="T30" i="11"/>
  <c r="G182" i="9"/>
  <c r="N216" i="9"/>
  <c r="N219" i="9"/>
  <c r="L14" i="13" s="1"/>
  <c r="R31" i="11"/>
  <c r="T31" i="11" s="1"/>
  <c r="R34" i="11"/>
  <c r="W34" i="11" s="1"/>
  <c r="D211" i="9"/>
  <c r="H13" i="9"/>
  <c r="H142" i="9"/>
  <c r="H41" i="9"/>
  <c r="H78" i="9"/>
  <c r="G79" i="9"/>
  <c r="G109" i="9"/>
  <c r="I108" i="9"/>
  <c r="G45" i="9"/>
  <c r="H43" i="9"/>
  <c r="I107" i="9"/>
  <c r="I49" i="29" s="1"/>
  <c r="H113" i="9"/>
  <c r="I148" i="9"/>
  <c r="I24" i="9"/>
  <c r="G24" i="9"/>
  <c r="G144" i="9"/>
  <c r="I143" i="9"/>
  <c r="R19" i="11"/>
  <c r="W19" i="11" s="1"/>
  <c r="R27" i="11"/>
  <c r="W27" i="11" s="1"/>
  <c r="H9" i="9"/>
  <c r="I13" i="9"/>
  <c r="H44" i="9"/>
  <c r="G76" i="9"/>
  <c r="R11" i="11"/>
  <c r="W11" i="11" s="1"/>
  <c r="W5" i="11"/>
  <c r="W26" i="11"/>
  <c r="G149" i="9"/>
  <c r="R28" i="11"/>
  <c r="T21" i="11"/>
  <c r="W21" i="11"/>
  <c r="W3" i="11"/>
  <c r="T3" i="11"/>
  <c r="T2" i="11"/>
  <c r="W36" i="11"/>
  <c r="T36" i="11"/>
  <c r="R10" i="11"/>
  <c r="R14" i="11"/>
  <c r="R29" i="11"/>
  <c r="W29" i="11" s="1"/>
  <c r="T9" i="11"/>
  <c r="T15" i="11"/>
  <c r="T22" i="11"/>
  <c r="R24" i="11"/>
  <c r="T33" i="11"/>
  <c r="R6" i="11"/>
  <c r="T6" i="11" s="1"/>
  <c r="R13" i="11"/>
  <c r="W30" i="11"/>
  <c r="G11" i="9"/>
  <c r="I7" i="9"/>
  <c r="I3" i="29" s="1"/>
  <c r="H8" i="9"/>
  <c r="H47" i="9"/>
  <c r="I47" i="9"/>
  <c r="I175" i="9"/>
  <c r="I79" i="29" s="1"/>
  <c r="H175" i="9"/>
  <c r="W23" i="11"/>
  <c r="T23" i="11"/>
  <c r="H10" i="9"/>
  <c r="N6" i="13"/>
  <c r="H81" i="9"/>
  <c r="G87" i="9"/>
  <c r="I81" i="9"/>
  <c r="I37" i="29" s="1"/>
  <c r="H139" i="9"/>
  <c r="G140" i="9"/>
  <c r="G164" i="9" s="1"/>
  <c r="I139" i="9"/>
  <c r="I64" i="29" s="1"/>
  <c r="N9" i="13"/>
  <c r="H82" i="9"/>
  <c r="I82" i="9"/>
  <c r="G116" i="9"/>
  <c r="H111" i="9"/>
  <c r="I111" i="9"/>
  <c r="I51" i="29" s="1"/>
  <c r="I196" i="9"/>
  <c r="I87" i="29" s="1"/>
  <c r="H196" i="9"/>
  <c r="D6" i="14"/>
  <c r="D5" i="14"/>
  <c r="W7" i="11"/>
  <c r="T7" i="11"/>
  <c r="W16" i="11"/>
  <c r="T16" i="11"/>
  <c r="T20" i="11"/>
  <c r="W20" i="11"/>
  <c r="T35" i="11"/>
  <c r="W35" i="11"/>
  <c r="J41" i="9"/>
  <c r="H74" i="9"/>
  <c r="H75" i="9"/>
  <c r="I104" i="9"/>
  <c r="I48" i="29" s="1"/>
  <c r="G105" i="9"/>
  <c r="J194" i="9"/>
  <c r="J198" i="9"/>
  <c r="H198" i="9"/>
  <c r="G173" i="9"/>
  <c r="G200" i="9" s="1"/>
  <c r="I172" i="9"/>
  <c r="I78" i="29" s="1"/>
  <c r="N5" i="13"/>
  <c r="R25" i="11"/>
  <c r="W4" i="11"/>
  <c r="T4" i="11"/>
  <c r="W12" i="11"/>
  <c r="T12" i="11"/>
  <c r="R18" i="11"/>
  <c r="R8" i="11"/>
  <c r="R17" i="11"/>
  <c r="R32" i="11"/>
  <c r="W164" i="9" l="1"/>
  <c r="R164" i="9"/>
  <c r="S6" i="29"/>
  <c r="S7" i="29"/>
  <c r="K44" i="29"/>
  <c r="K46" i="29" s="1"/>
  <c r="R5" i="29" s="1"/>
  <c r="D244" i="9"/>
  <c r="D243" i="9" s="1"/>
  <c r="B16" i="14" s="1"/>
  <c r="F213" i="9"/>
  <c r="F6" i="25" s="1"/>
  <c r="J8" i="9"/>
  <c r="J142" i="9"/>
  <c r="M46" i="29"/>
  <c r="T5" i="29" s="1"/>
  <c r="M76" i="29"/>
  <c r="T7" i="29" s="1"/>
  <c r="I45" i="9"/>
  <c r="N46" i="29"/>
  <c r="U5" i="29" s="1"/>
  <c r="O46" i="29"/>
  <c r="V5" i="29" s="1"/>
  <c r="G1" i="29"/>
  <c r="L76" i="29"/>
  <c r="K76" i="29"/>
  <c r="R7" i="29" s="1"/>
  <c r="K62" i="29"/>
  <c r="R6" i="29" s="1"/>
  <c r="N62" i="29"/>
  <c r="U6" i="29" s="1"/>
  <c r="O62" i="29"/>
  <c r="V6" i="29" s="1"/>
  <c r="O76" i="29"/>
  <c r="V7" i="29" s="1"/>
  <c r="N76" i="29"/>
  <c r="U7" i="29" s="1"/>
  <c r="M62" i="29"/>
  <c r="T6" i="29" s="1"/>
  <c r="L62" i="29"/>
  <c r="D212" i="9"/>
  <c r="B7" i="13" s="1"/>
  <c r="H149" i="9"/>
  <c r="H173" i="9"/>
  <c r="H74" i="29"/>
  <c r="J143" i="9"/>
  <c r="I66" i="29"/>
  <c r="G66" i="9"/>
  <c r="H30" i="29" s="1"/>
  <c r="H144" i="9"/>
  <c r="J43" i="9"/>
  <c r="I23" i="29"/>
  <c r="J74" i="9"/>
  <c r="I34" i="29"/>
  <c r="J148" i="9"/>
  <c r="I69" i="29"/>
  <c r="J75" i="9"/>
  <c r="I35" i="29"/>
  <c r="H79" i="9"/>
  <c r="J9" i="9"/>
  <c r="I5" i="29"/>
  <c r="J79" i="9"/>
  <c r="H140" i="9"/>
  <c r="H164" i="9" s="1"/>
  <c r="J108" i="9"/>
  <c r="I50" i="29"/>
  <c r="H16" i="9"/>
  <c r="F212" i="9"/>
  <c r="F5" i="25" s="1"/>
  <c r="E44" i="29"/>
  <c r="F44" i="29" s="1"/>
  <c r="F1" i="29" s="1"/>
  <c r="J113" i="9"/>
  <c r="I53" i="29"/>
  <c r="J82" i="9"/>
  <c r="I38" i="29"/>
  <c r="H49" i="9"/>
  <c r="D235" i="9"/>
  <c r="L44" i="29"/>
  <c r="H109" i="9"/>
  <c r="J10" i="9"/>
  <c r="I6" i="29"/>
  <c r="J44" i="9"/>
  <c r="I24" i="29"/>
  <c r="H105" i="9"/>
  <c r="I49" i="9"/>
  <c r="I25" i="29"/>
  <c r="I16" i="9"/>
  <c r="I7" i="29"/>
  <c r="I79" i="9"/>
  <c r="I36" i="29"/>
  <c r="F232" i="9"/>
  <c r="F231" i="9"/>
  <c r="G131" i="9"/>
  <c r="H60" i="29" s="1"/>
  <c r="M131" i="9"/>
  <c r="D231" i="9"/>
  <c r="D232" i="9"/>
  <c r="J3" i="25"/>
  <c r="T210" i="9"/>
  <c r="R3" i="25" s="1"/>
  <c r="R131" i="9"/>
  <c r="W131" i="9"/>
  <c r="H3" i="25"/>
  <c r="D3" i="25"/>
  <c r="D217" i="9"/>
  <c r="H90" i="29"/>
  <c r="I199" i="9"/>
  <c r="H199" i="9"/>
  <c r="G34" i="9"/>
  <c r="H17" i="29" s="1"/>
  <c r="G96" i="9"/>
  <c r="H44" i="29" s="1"/>
  <c r="M96" i="9"/>
  <c r="F244" i="9" s="1"/>
  <c r="F243" i="9" s="1"/>
  <c r="R96" i="9"/>
  <c r="W96" i="9"/>
  <c r="L11" i="13"/>
  <c r="L20" i="13" s="1"/>
  <c r="N9" i="25"/>
  <c r="P218" i="9"/>
  <c r="N13" i="13" s="1"/>
  <c r="P6" i="25"/>
  <c r="B6" i="13"/>
  <c r="D4" i="25"/>
  <c r="N8" i="13"/>
  <c r="H212" i="9"/>
  <c r="H215" i="9"/>
  <c r="P216" i="9"/>
  <c r="H211" i="9"/>
  <c r="L8" i="25"/>
  <c r="F211" i="9"/>
  <c r="J215" i="9"/>
  <c r="H213" i="9"/>
  <c r="H214" i="9"/>
  <c r="J211" i="9"/>
  <c r="J213" i="9"/>
  <c r="J212" i="9"/>
  <c r="F210" i="9"/>
  <c r="F3" i="25" s="1"/>
  <c r="I11" i="9"/>
  <c r="I34" i="9" s="1"/>
  <c r="I17" i="29" s="1"/>
  <c r="I19" i="29" s="1"/>
  <c r="Z3" i="29" s="1"/>
  <c r="J196" i="9"/>
  <c r="B10" i="13"/>
  <c r="W31" i="11"/>
  <c r="I182" i="9"/>
  <c r="H182" i="9"/>
  <c r="D213" i="9"/>
  <c r="L212" i="9"/>
  <c r="L5" i="25" s="1"/>
  <c r="L211" i="9"/>
  <c r="L4" i="25" s="1"/>
  <c r="L213" i="9"/>
  <c r="L6" i="25" s="1"/>
  <c r="T34" i="11"/>
  <c r="H11" i="9"/>
  <c r="H116" i="9"/>
  <c r="I109" i="9"/>
  <c r="H45" i="9"/>
  <c r="H24" i="9"/>
  <c r="I144" i="9"/>
  <c r="T19" i="11"/>
  <c r="T27" i="11"/>
  <c r="J24" i="9"/>
  <c r="J107" i="9"/>
  <c r="W6" i="11"/>
  <c r="I149" i="9"/>
  <c r="T11" i="11"/>
  <c r="J13" i="9"/>
  <c r="F5" i="13"/>
  <c r="W28" i="11"/>
  <c r="T28" i="11"/>
  <c r="T24" i="11"/>
  <c r="W24" i="11"/>
  <c r="T29" i="11"/>
  <c r="W13" i="11"/>
  <c r="T13" i="11"/>
  <c r="T14" i="11"/>
  <c r="W14" i="11"/>
  <c r="T10" i="11"/>
  <c r="W10" i="11"/>
  <c r="D3" i="14"/>
  <c r="J104" i="9"/>
  <c r="I105" i="9"/>
  <c r="D8" i="13"/>
  <c r="N12" i="13"/>
  <c r="J175" i="9"/>
  <c r="T8" i="11"/>
  <c r="W8" i="11"/>
  <c r="R37" i="11"/>
  <c r="J172" i="9"/>
  <c r="I173" i="9"/>
  <c r="I200" i="9" s="1"/>
  <c r="H76" i="9"/>
  <c r="B3" i="14"/>
  <c r="B15" i="14"/>
  <c r="W17" i="11"/>
  <c r="T17" i="11"/>
  <c r="D15" i="14"/>
  <c r="B5" i="13"/>
  <c r="J7" i="9"/>
  <c r="I76" i="9"/>
  <c r="J111" i="9"/>
  <c r="I116" i="9"/>
  <c r="B2" i="14"/>
  <c r="N14" i="13"/>
  <c r="J81" i="9"/>
  <c r="I87" i="9"/>
  <c r="T18" i="11"/>
  <c r="W18" i="11"/>
  <c r="T32" i="11"/>
  <c r="W32" i="11"/>
  <c r="T25" i="11"/>
  <c r="W25" i="11"/>
  <c r="B4" i="14"/>
  <c r="D2" i="14"/>
  <c r="I140" i="9"/>
  <c r="I164" i="9" s="1"/>
  <c r="J139" i="9"/>
  <c r="H87" i="9"/>
  <c r="J5" i="13"/>
  <c r="J47" i="9"/>
  <c r="H5" i="13"/>
  <c r="H200" i="9" l="1"/>
  <c r="AJ4" i="29"/>
  <c r="AI4" i="29"/>
  <c r="L46" i="29"/>
  <c r="AG4" i="29"/>
  <c r="J144" i="9"/>
  <c r="D16" i="14"/>
  <c r="AF4" i="29"/>
  <c r="I66" i="9"/>
  <c r="I30" i="29" s="1"/>
  <c r="I32" i="29" s="1"/>
  <c r="Z4" i="29" s="1"/>
  <c r="H1" i="29"/>
  <c r="D5" i="25"/>
  <c r="AH4" i="29"/>
  <c r="I96" i="9"/>
  <c r="I44" i="29" s="1"/>
  <c r="I46" i="29" s="1"/>
  <c r="Z5" i="29" s="1"/>
  <c r="D7" i="13"/>
  <c r="H131" i="9"/>
  <c r="J76" i="9"/>
  <c r="J149" i="9"/>
  <c r="J16" i="9"/>
  <c r="J11" i="9"/>
  <c r="J199" i="9"/>
  <c r="J173" i="9"/>
  <c r="J105" i="9"/>
  <c r="J45" i="9"/>
  <c r="J116" i="9"/>
  <c r="J182" i="9"/>
  <c r="J140" i="9"/>
  <c r="J164" i="9" s="1"/>
  <c r="J49" i="9"/>
  <c r="J87" i="9"/>
  <c r="H66" i="9"/>
  <c r="F218" i="9"/>
  <c r="D13" i="13" s="1"/>
  <c r="J109" i="9"/>
  <c r="I90" i="29"/>
  <c r="I92" i="29" s="1"/>
  <c r="Z8" i="29" s="1"/>
  <c r="I131" i="9"/>
  <c r="I60" i="29" s="1"/>
  <c r="I62" i="29" s="1"/>
  <c r="Z6" i="29" s="1"/>
  <c r="D233" i="9"/>
  <c r="F235" i="9"/>
  <c r="H96" i="9"/>
  <c r="H34" i="9"/>
  <c r="D6" i="13"/>
  <c r="F4" i="25"/>
  <c r="F9" i="13"/>
  <c r="H7" i="25"/>
  <c r="H217" i="9"/>
  <c r="F12" i="13" s="1"/>
  <c r="H4" i="25"/>
  <c r="B8" i="13"/>
  <c r="D6" i="25"/>
  <c r="F8" i="13"/>
  <c r="H6" i="25"/>
  <c r="N11" i="13"/>
  <c r="N20" i="13" s="1"/>
  <c r="P9" i="25"/>
  <c r="F10" i="13"/>
  <c r="H8" i="25"/>
  <c r="N13" i="25"/>
  <c r="AE16" i="25"/>
  <c r="AI16" i="25" s="1"/>
  <c r="AI17" i="25" s="1"/>
  <c r="AI33" i="25" s="1"/>
  <c r="N16" i="25"/>
  <c r="F7" i="13"/>
  <c r="H5" i="25"/>
  <c r="H10" i="13"/>
  <c r="J8" i="25"/>
  <c r="H8" i="13"/>
  <c r="J6" i="25"/>
  <c r="H7" i="13"/>
  <c r="J5" i="25"/>
  <c r="H6" i="13"/>
  <c r="J4" i="25"/>
  <c r="F6" i="13"/>
  <c r="F217" i="9"/>
  <c r="D12" i="13" s="1"/>
  <c r="H218" i="9"/>
  <c r="F13" i="13" s="1"/>
  <c r="D5" i="13"/>
  <c r="H216" i="9"/>
  <c r="T215" i="9"/>
  <c r="R8" i="25" s="1"/>
  <c r="H219" i="9"/>
  <c r="T213" i="9"/>
  <c r="R6" i="25" s="1"/>
  <c r="J217" i="9"/>
  <c r="H12" i="13" s="1"/>
  <c r="T211" i="9"/>
  <c r="R4" i="25" s="1"/>
  <c r="J10" i="13"/>
  <c r="J218" i="9"/>
  <c r="H13" i="13" s="1"/>
  <c r="R5" i="13"/>
  <c r="T212" i="9"/>
  <c r="R5" i="25" s="1"/>
  <c r="D218" i="9"/>
  <c r="B13" i="13" s="1"/>
  <c r="J6" i="13"/>
  <c r="L217" i="9"/>
  <c r="J12" i="13" s="1"/>
  <c r="L218" i="9"/>
  <c r="J7" i="13"/>
  <c r="J8" i="13"/>
  <c r="B12" i="13"/>
  <c r="J200" i="9" l="1"/>
  <c r="J34" i="9"/>
  <c r="J96" i="9"/>
  <c r="J131" i="9"/>
  <c r="F233" i="9"/>
  <c r="J66" i="9"/>
  <c r="D234" i="9"/>
  <c r="I74" i="29"/>
  <c r="I76" i="29" s="1"/>
  <c r="Z7" i="29" s="1"/>
  <c r="R8" i="13"/>
  <c r="R10" i="13"/>
  <c r="R7" i="13"/>
  <c r="H9" i="25"/>
  <c r="F11" i="13"/>
  <c r="F20" i="13" s="1"/>
  <c r="P16" i="25"/>
  <c r="P13" i="25"/>
  <c r="R6" i="13"/>
  <c r="T218" i="9"/>
  <c r="F14" i="13"/>
  <c r="T217" i="9"/>
  <c r="R12" i="13"/>
  <c r="J13" i="13"/>
  <c r="R13" i="13" s="1"/>
  <c r="AK4" i="29" l="1"/>
  <c r="H13" i="25"/>
  <c r="H16" i="25"/>
  <c r="F215" i="9"/>
  <c r="F8" i="25" s="1"/>
  <c r="D10" i="13" l="1"/>
  <c r="F214" i="9"/>
  <c r="F7" i="25" s="1"/>
  <c r="D214" i="9"/>
  <c r="D7" i="25" l="1"/>
  <c r="D216" i="9"/>
  <c r="E205" i="9" s="1"/>
  <c r="B10" i="14"/>
  <c r="D10" i="14"/>
  <c r="B9" i="13"/>
  <c r="D219" i="9"/>
  <c r="U219" i="9" s="1"/>
  <c r="F216" i="9"/>
  <c r="G205" i="9" s="1"/>
  <c r="F219" i="9"/>
  <c r="D9" i="13"/>
  <c r="E243" i="9" l="1"/>
  <c r="C16" i="14" s="1"/>
  <c r="U233" i="9"/>
  <c r="U234" i="9" s="1"/>
  <c r="F242" i="9"/>
  <c r="G242" i="9" s="1"/>
  <c r="G243" i="9"/>
  <c r="E16" i="14" s="1"/>
  <c r="E246" i="9"/>
  <c r="D242" i="9"/>
  <c r="E242" i="9" s="1"/>
  <c r="G235" i="9"/>
  <c r="G233" i="9"/>
  <c r="G224" i="9"/>
  <c r="G223" i="9"/>
  <c r="E223" i="9"/>
  <c r="E224" i="9"/>
  <c r="E225" i="9"/>
  <c r="E204" i="9"/>
  <c r="M4" i="18"/>
  <c r="N4" i="18" s="1"/>
  <c r="O4" i="18" s="1"/>
  <c r="D9" i="25"/>
  <c r="F9" i="25"/>
  <c r="G236" i="9"/>
  <c r="E10" i="14" s="1"/>
  <c r="E236" i="9"/>
  <c r="C10" i="14" s="1"/>
  <c r="B4" i="18"/>
  <c r="E231" i="9"/>
  <c r="G222" i="9"/>
  <c r="E4" i="14" s="1"/>
  <c r="G238" i="9"/>
  <c r="E12" i="14" s="1"/>
  <c r="G228" i="9"/>
  <c r="G215" i="9"/>
  <c r="G229" i="9"/>
  <c r="G237" i="9"/>
  <c r="E11" i="14" s="1"/>
  <c r="G216" i="9"/>
  <c r="C4" i="18"/>
  <c r="G240" i="9"/>
  <c r="E14" i="14" s="1"/>
  <c r="G241" i="9"/>
  <c r="E15" i="14" s="1"/>
  <c r="G221" i="9"/>
  <c r="E3" i="14" s="1"/>
  <c r="G230" i="9"/>
  <c r="G227" i="9"/>
  <c r="E6" i="14" s="1"/>
  <c r="G239" i="9"/>
  <c r="E13" i="14" s="1"/>
  <c r="G218" i="9"/>
  <c r="E13" i="13" s="1"/>
  <c r="G212" i="9"/>
  <c r="G217" i="9"/>
  <c r="E12" i="13" s="1"/>
  <c r="G220" i="9"/>
  <c r="G213" i="9"/>
  <c r="G226" i="9"/>
  <c r="E5" i="14" s="1"/>
  <c r="G210" i="9"/>
  <c r="G211" i="9"/>
  <c r="D11" i="13"/>
  <c r="D20" i="13" s="1"/>
  <c r="AF216" i="9"/>
  <c r="AH216" i="9" s="1"/>
  <c r="G204" i="9"/>
  <c r="D257" i="9"/>
  <c r="G225" i="9"/>
  <c r="D14" i="13"/>
  <c r="G219" i="9"/>
  <c r="E14" i="13" s="1"/>
  <c r="G214" i="9"/>
  <c r="E222" i="9"/>
  <c r="C4" i="14" s="1"/>
  <c r="E220" i="9"/>
  <c r="C2" i="14" s="1"/>
  <c r="M213" i="9"/>
  <c r="O218" i="9"/>
  <c r="M13" i="13" s="1"/>
  <c r="I217" i="9"/>
  <c r="G12" i="13" s="1"/>
  <c r="M212" i="9"/>
  <c r="E211" i="9"/>
  <c r="I213" i="9"/>
  <c r="E212" i="9"/>
  <c r="D256" i="9"/>
  <c r="S211" i="9"/>
  <c r="O210" i="9"/>
  <c r="E230" i="9"/>
  <c r="Q218" i="9"/>
  <c r="O13" i="13" s="1"/>
  <c r="K217" i="9"/>
  <c r="I12" i="13" s="1"/>
  <c r="E213" i="9"/>
  <c r="I211" i="9"/>
  <c r="O219" i="9"/>
  <c r="M14" i="13" s="1"/>
  <c r="M210" i="9"/>
  <c r="E238" i="9"/>
  <c r="C12" i="14" s="1"/>
  <c r="M215" i="9"/>
  <c r="O216" i="9"/>
  <c r="S213" i="9"/>
  <c r="S217" i="9"/>
  <c r="S215" i="9"/>
  <c r="S212" i="9"/>
  <c r="E210" i="9"/>
  <c r="K213" i="9"/>
  <c r="K211" i="9"/>
  <c r="O217" i="9"/>
  <c r="M12" i="13" s="1"/>
  <c r="Q213" i="9"/>
  <c r="I218" i="9"/>
  <c r="G13" i="13" s="1"/>
  <c r="E237" i="9"/>
  <c r="C11" i="14" s="1"/>
  <c r="E218" i="9"/>
  <c r="C13" i="13" s="1"/>
  <c r="K218" i="9"/>
  <c r="I13" i="13" s="1"/>
  <c r="K210" i="9"/>
  <c r="I210" i="9"/>
  <c r="I212" i="9"/>
  <c r="K215" i="9"/>
  <c r="S210" i="9"/>
  <c r="E227" i="9"/>
  <c r="C6" i="14" s="1"/>
  <c r="Q215" i="9"/>
  <c r="E216" i="9"/>
  <c r="O215" i="9"/>
  <c r="I219" i="9"/>
  <c r="G14" i="13" s="1"/>
  <c r="E215" i="9"/>
  <c r="Q217" i="9"/>
  <c r="O12" i="13" s="1"/>
  <c r="E241" i="9"/>
  <c r="C15" i="14" s="1"/>
  <c r="K212" i="9"/>
  <c r="E229" i="9"/>
  <c r="S214" i="9"/>
  <c r="S219" i="9"/>
  <c r="E226" i="9"/>
  <c r="C5" i="14" s="1"/>
  <c r="Q210" i="9"/>
  <c r="S218" i="9"/>
  <c r="E239" i="9"/>
  <c r="C13" i="14" s="1"/>
  <c r="M217" i="9"/>
  <c r="K12" i="13" s="1"/>
  <c r="Q219" i="9"/>
  <c r="O14" i="13" s="1"/>
  <c r="I214" i="9"/>
  <c r="O212" i="9"/>
  <c r="E221" i="9"/>
  <c r="C3" i="14" s="1"/>
  <c r="Q212" i="9"/>
  <c r="Q216" i="9"/>
  <c r="O214" i="9"/>
  <c r="O211" i="9"/>
  <c r="Q211" i="9"/>
  <c r="O213" i="9"/>
  <c r="E240" i="9"/>
  <c r="C14" i="14" s="1"/>
  <c r="M218" i="9"/>
  <c r="K13" i="13" s="1"/>
  <c r="M211" i="9"/>
  <c r="I216" i="9"/>
  <c r="I9" i="25" s="1"/>
  <c r="E228" i="9"/>
  <c r="I215" i="9"/>
  <c r="Q214" i="9"/>
  <c r="B11" i="13"/>
  <c r="B20" i="13" s="1"/>
  <c r="E217" i="9"/>
  <c r="C12" i="13" s="1"/>
  <c r="E219" i="9"/>
  <c r="C14" i="13" s="1"/>
  <c r="B14" i="13"/>
  <c r="E214" i="9"/>
  <c r="E232" i="9"/>
  <c r="V227" i="9" l="1"/>
  <c r="E8" i="13"/>
  <c r="G6" i="25"/>
  <c r="C9" i="13"/>
  <c r="E7" i="25"/>
  <c r="M9" i="13"/>
  <c r="O7" i="25"/>
  <c r="C5" i="13"/>
  <c r="E3" i="25"/>
  <c r="K5" i="13"/>
  <c r="M3" i="25"/>
  <c r="M5" i="13"/>
  <c r="O3" i="25"/>
  <c r="G6" i="13"/>
  <c r="I4" i="25"/>
  <c r="E7" i="13"/>
  <c r="G5" i="25"/>
  <c r="O5" i="13"/>
  <c r="Q3" i="25"/>
  <c r="C10" i="13"/>
  <c r="E8" i="25"/>
  <c r="O8" i="13"/>
  <c r="Q6" i="25"/>
  <c r="C8" i="13"/>
  <c r="E6" i="25"/>
  <c r="E10" i="13"/>
  <c r="G8" i="25"/>
  <c r="G8" i="13"/>
  <c r="I6" i="25"/>
  <c r="E9" i="13"/>
  <c r="G7" i="25"/>
  <c r="E6" i="13"/>
  <c r="G4" i="25"/>
  <c r="G7" i="13"/>
  <c r="I5" i="25"/>
  <c r="M8" i="13"/>
  <c r="O6" i="25"/>
  <c r="G9" i="13"/>
  <c r="I7" i="25"/>
  <c r="M10" i="13"/>
  <c r="O8" i="25"/>
  <c r="G5" i="13"/>
  <c r="I3" i="25"/>
  <c r="M11" i="13"/>
  <c r="M20" i="13" s="1"/>
  <c r="O9" i="25"/>
  <c r="C6" i="13"/>
  <c r="E4" i="25"/>
  <c r="E5" i="13"/>
  <c r="G3" i="25"/>
  <c r="Q4" i="18"/>
  <c r="R4" i="18"/>
  <c r="S4" i="18" s="1"/>
  <c r="P4" i="18"/>
  <c r="G10" i="13"/>
  <c r="I8" i="25"/>
  <c r="M6" i="13"/>
  <c r="O4" i="25"/>
  <c r="O10" i="13"/>
  <c r="Q8" i="25"/>
  <c r="O11" i="13"/>
  <c r="O20" i="13" s="1"/>
  <c r="Q9" i="25"/>
  <c r="O7" i="13"/>
  <c r="Q5" i="25"/>
  <c r="C7" i="13"/>
  <c r="E5" i="25"/>
  <c r="M7" i="13"/>
  <c r="O5" i="25"/>
  <c r="O9" i="13"/>
  <c r="Q7" i="25"/>
  <c r="O6" i="13"/>
  <c r="Q4" i="25"/>
  <c r="C11" i="13"/>
  <c r="C20" i="13" s="1"/>
  <c r="E9" i="25"/>
  <c r="I5" i="13"/>
  <c r="K3" i="25"/>
  <c r="E11" i="13"/>
  <c r="E20" i="13" s="1"/>
  <c r="G9" i="25"/>
  <c r="K10" i="13"/>
  <c r="M8" i="25"/>
  <c r="I10" i="13"/>
  <c r="K8" i="25"/>
  <c r="I8" i="13"/>
  <c r="K6" i="25"/>
  <c r="K8" i="13"/>
  <c r="M6" i="25"/>
  <c r="K7" i="13"/>
  <c r="M5" i="25"/>
  <c r="I7" i="13"/>
  <c r="K5" i="25"/>
  <c r="K6" i="13"/>
  <c r="M4" i="25"/>
  <c r="I6" i="13"/>
  <c r="K4" i="25"/>
  <c r="S12" i="13"/>
  <c r="G11" i="13"/>
  <c r="G20" i="13" s="1"/>
  <c r="D259" i="9"/>
  <c r="D258" i="9"/>
  <c r="G231" i="9"/>
  <c r="G232" i="9"/>
  <c r="E2" i="14"/>
  <c r="S13" i="13"/>
  <c r="S5" i="13" l="1"/>
  <c r="S8" i="13"/>
  <c r="S10" i="13"/>
  <c r="S7" i="13"/>
  <c r="S6" i="13"/>
  <c r="B7" i="14"/>
  <c r="E9" i="14"/>
  <c r="F234" i="9"/>
  <c r="V234" i="9" s="1"/>
  <c r="E235" i="9"/>
  <c r="C9" i="14" s="1"/>
  <c r="B8" i="14" l="1"/>
  <c r="E234" i="9"/>
  <c r="C8" i="14" s="1"/>
  <c r="D7" i="14"/>
  <c r="E7" i="14"/>
  <c r="G234" i="9"/>
  <c r="E8" i="14" s="1"/>
  <c r="D8" i="14"/>
  <c r="D9" i="14"/>
  <c r="E233" i="9"/>
  <c r="C7" i="14" s="1"/>
  <c r="L214" i="9"/>
  <c r="L7" i="25" s="1"/>
  <c r="B9" i="14"/>
  <c r="J214" i="9"/>
  <c r="J7" i="25" s="1"/>
  <c r="L219" i="9" l="1"/>
  <c r="L216" i="9"/>
  <c r="M214" i="9"/>
  <c r="J9" i="13"/>
  <c r="H9" i="13"/>
  <c r="J216" i="9"/>
  <c r="J219" i="9"/>
  <c r="K214" i="9"/>
  <c r="T214" i="9"/>
  <c r="R7" i="25" s="1"/>
  <c r="L9" i="25" l="1"/>
  <c r="L16" i="25" s="1"/>
  <c r="J11" i="13"/>
  <c r="J20" i="13" s="1"/>
  <c r="T219" i="9"/>
  <c r="R9" i="13"/>
  <c r="K9" i="13"/>
  <c r="M7" i="25"/>
  <c r="I9" i="13"/>
  <c r="K7" i="25"/>
  <c r="T216" i="9"/>
  <c r="R9" i="25" s="1"/>
  <c r="J9" i="25"/>
  <c r="J16" i="25" s="1"/>
  <c r="H14" i="13"/>
  <c r="K219" i="9"/>
  <c r="I14" i="13" s="1"/>
  <c r="M216" i="9"/>
  <c r="K216" i="9"/>
  <c r="H11" i="13"/>
  <c r="H20" i="13" s="1"/>
  <c r="J14" i="13"/>
  <c r="M219" i="9"/>
  <c r="K14" i="13" s="1"/>
  <c r="L13" i="25" l="1"/>
  <c r="K9" i="25"/>
  <c r="W216" i="9"/>
  <c r="S9" i="13"/>
  <c r="K11" i="13"/>
  <c r="K20" i="13" s="1"/>
  <c r="M9" i="25"/>
  <c r="R16" i="25"/>
  <c r="J13" i="25"/>
  <c r="S14" i="13"/>
  <c r="I11" i="13"/>
  <c r="I20" i="13" s="1"/>
  <c r="S216" i="9"/>
  <c r="R11" i="13"/>
  <c r="R14" i="13"/>
  <c r="R17" i="25" l="1"/>
  <c r="S11" i="13"/>
  <c r="R33" i="25" l="1"/>
  <c r="AI35" i="25" s="1"/>
</calcChain>
</file>

<file path=xl/sharedStrings.xml><?xml version="1.0" encoding="utf-8"?>
<sst xmlns="http://schemas.openxmlformats.org/spreadsheetml/2006/main" count="2549" uniqueCount="875">
  <si>
    <t>UNIWERSYTET MEDYCZNY, WYDZIAŁ FARMACEUTYCZNY
 PLAN STUDIÓW_2024_2027
Forma studiów: studia stacjonarne
Kierunek: KOSMETOLOGIA
Poziom: studia I stopnia 
Czas trwania: 3 lata, 6 semestrów</t>
  </si>
  <si>
    <t>Zwiększony limit z 40 do 60 (50%)</t>
  </si>
  <si>
    <t>Lp.</t>
  </si>
  <si>
    <t>Przedmiot</t>
  </si>
  <si>
    <t>Jednostka organizująca</t>
  </si>
  <si>
    <t>Ogółem</t>
  </si>
  <si>
    <t>SEMESTR I</t>
  </si>
  <si>
    <t xml:space="preserve"> l. godzin</t>
  </si>
  <si>
    <t>ECTS</t>
  </si>
  <si>
    <t>godz. kontaktowe</t>
  </si>
  <si>
    <t>godz. niekontaktowe</t>
  </si>
  <si>
    <t>Forma zal. przedmiotu</t>
  </si>
  <si>
    <t>ZAJĘCIA DYDAKTYCZNE</t>
  </si>
  <si>
    <t>PRAKTYKI</t>
  </si>
  <si>
    <t xml:space="preserve">Wykład/e-Wykład </t>
  </si>
  <si>
    <t xml:space="preserve">Ćwiczenia/e-Ćwiczenia </t>
  </si>
  <si>
    <t xml:space="preserve">Seminaria/e-Seminaria </t>
  </si>
  <si>
    <t>Zajęcia praktyczne</t>
  </si>
  <si>
    <t>Praktyki</t>
  </si>
  <si>
    <t>l.g.</t>
  </si>
  <si>
    <t>l.gr.</t>
  </si>
  <si>
    <t>Gr</t>
  </si>
  <si>
    <t>St</t>
  </si>
  <si>
    <t>Grupa treści podstawowych</t>
  </si>
  <si>
    <t>Anatomia</t>
  </si>
  <si>
    <t>Katedra i Zakład Anatomii Prawidłowej Człowieka</t>
  </si>
  <si>
    <t>ZO</t>
  </si>
  <si>
    <t xml:space="preserve"> minus 10h sem</t>
  </si>
  <si>
    <t>Biologia z genetyką</t>
  </si>
  <si>
    <t>Katedra i Zakład Biologii z Genetyką</t>
  </si>
  <si>
    <t>E</t>
  </si>
  <si>
    <t>Histologia</t>
  </si>
  <si>
    <t>Katedra i Zakład Histologii i Embriologii</t>
  </si>
  <si>
    <t>5 cw na sem</t>
  </si>
  <si>
    <t>Podstawy ratownictwa medycznego</t>
  </si>
  <si>
    <t xml:space="preserve">Samodzielna Pracownia Medycznych Czynności Ratunkowych i Ratownictwa Specjalistycznego </t>
  </si>
  <si>
    <t>2022_I pomoc wraca do CEM do Samodzielna Pracownia Med. Stanów Nagłych i Ratownictwa Specjalistycznego u Dr K. Naylor z Kliniki Anestezjologii i Intensywnej Terapii Dziecięcej</t>
  </si>
  <si>
    <t>Przedmioty podstawowe razem</t>
  </si>
  <si>
    <t>Do 2022 nazwa: Kwalifikowana pierwsza pomoc medyczna, od 2022 Podstawy ratownictwa medycznego</t>
  </si>
  <si>
    <t>Grupa treści kierunkowych</t>
  </si>
  <si>
    <t xml:space="preserve">od 2022 nazwa pracowni: Samodzielna Pracownia Medycznych Czynności Ratunkowych i Ratownictwa Specjalistycznego </t>
  </si>
  <si>
    <t>Kosmetologia pielęgnacyjna/cz.1</t>
  </si>
  <si>
    <t>Zakład Kosmetologii i Medycyny Estetycznej</t>
  </si>
  <si>
    <t>Z</t>
  </si>
  <si>
    <t>Wprowadzenie do oceny właściwości surowców kosmetycznych</t>
  </si>
  <si>
    <t>Katedra i Zakład Chemii Leków</t>
  </si>
  <si>
    <t>minus 10 cw/ -20%</t>
  </si>
  <si>
    <t>%</t>
  </si>
  <si>
    <t>Chemia kosmetyczna</t>
  </si>
  <si>
    <t>Zakład Chemii Nieorganicznej Katedry Chemii</t>
  </si>
  <si>
    <t>e-W</t>
  </si>
  <si>
    <t>minus 10 cw/20%.</t>
  </si>
  <si>
    <t>Przedmioty kierunkowe razem</t>
  </si>
  <si>
    <t>Grupa treści uzupełniających/ w tym treści uzupelniające "do wyboru"</t>
  </si>
  <si>
    <t>Podstawy ergonomii i BHP/Ocena narażenia zawodowego i BHP "do wyboru"</t>
  </si>
  <si>
    <t>Zakład Opieki Holistycznej i Zarządzania w Pielęgniarstwie Katedra Zintegrowanej Opieki Pielęgniarskiej</t>
  </si>
  <si>
    <t xml:space="preserve"> szkolenie z zakresu bhp co najmniej 4 godziny</t>
  </si>
  <si>
    <t>Kształtowanie sylwetki i postawy ciała/Ćwiczenia fitness "do wyboru"/cz.1</t>
  </si>
  <si>
    <t>Studium WF i Sportu</t>
  </si>
  <si>
    <t>Technologie informacyjne</t>
  </si>
  <si>
    <t>Zakład  Informatyki i Statystyki Medycznej z Pracownią zdalnego nauczania</t>
  </si>
  <si>
    <t>e-S</t>
  </si>
  <si>
    <t>Botanika w kosmetologii</t>
  </si>
  <si>
    <t>Zakład Botaniki Farmaceutycznej</t>
  </si>
  <si>
    <t>Przedmioty uzupełniające razem</t>
  </si>
  <si>
    <t>Grupa treści PAK</t>
  </si>
  <si>
    <r>
      <t>PAK=Psychospołeczne aspekty kosmetologii -</t>
    </r>
    <r>
      <rPr>
        <sz val="10"/>
        <color rgb="FF000000"/>
        <rFont val="Calibri"/>
        <family val="2"/>
        <charset val="238"/>
        <scheme val="minor"/>
      </rPr>
      <t xml:space="preserve"> treści kształcenia realizowanych na przedmiotach jak historia KS , filozofii, psychologia, socjologia, etyka zawodu, autoprezentacja, komunikacja społeczna i interpersonalna.</t>
    </r>
  </si>
  <si>
    <t>Historia kosmetologii</t>
  </si>
  <si>
    <t>Katedra i Zakład Nauk Humanistycznych i Medycyny Społecznej</t>
  </si>
  <si>
    <t>Etykieta i komunikacja interpersonalna</t>
  </si>
  <si>
    <t xml:space="preserve">Katedra i Zakład Psychologii UM  </t>
  </si>
  <si>
    <t>Przedmioty PAK razem</t>
  </si>
  <si>
    <t xml:space="preserve">Grupa treści fakultatywnych - "do wyboru" </t>
  </si>
  <si>
    <t>Fakultety wolne - do wyboru  4 ECTS</t>
  </si>
  <si>
    <t>Przedmioty "do wyboru" razem</t>
  </si>
  <si>
    <t>Podsumowanie semestru I</t>
  </si>
  <si>
    <t>Liczba egzaminów: 2</t>
  </si>
  <si>
    <t>SEMESTR II</t>
  </si>
  <si>
    <t>l. godzin</t>
  </si>
  <si>
    <t>Wykład/e-Wykład (status określony w sylabusach)</t>
  </si>
  <si>
    <t>Ćwiczenia</t>
  </si>
  <si>
    <t>Seminaria/e-Seminaria (status określony w sylabusach)</t>
  </si>
  <si>
    <t>Biochemia</t>
  </si>
  <si>
    <t>Katedra i Zakład Biochemii i Biotechnologii</t>
  </si>
  <si>
    <t>Biofizyka</t>
  </si>
  <si>
    <t>Katedra i Zakład Biofizyki</t>
  </si>
  <si>
    <t>10 cw na sem</t>
  </si>
  <si>
    <t>Fizjologia</t>
  </si>
  <si>
    <t>Katedra i Zakład Fizjologii Człowieka</t>
  </si>
  <si>
    <t>Patofizjologia</t>
  </si>
  <si>
    <t>Samodzielna Pracownia Neuropatofizjologii Doświadczalnej</t>
  </si>
  <si>
    <t>minus 10h/15 cw na sem</t>
  </si>
  <si>
    <t>Kosmetologia pielęgnacyjna/cz.2-full</t>
  </si>
  <si>
    <t xml:space="preserve">Język obcy dla kosmetologów/cz.1                    </t>
  </si>
  <si>
    <t>Studium Praktycznej Nauki Języków Obcych</t>
  </si>
  <si>
    <t>Kształtowanie sylwetki i postawy ciała/Ćwiczenia fitness "do wyboru"/cz.2</t>
  </si>
  <si>
    <t>Fakultety wolne - do wyboru  6 ECTS</t>
  </si>
  <si>
    <t>Grupa treści w ramach praktyk zawodowych</t>
  </si>
  <si>
    <t>Praktyki zawodowe śródroczne ("do wyboru")</t>
  </si>
  <si>
    <t>Gabinet kosmetyczny zewnętrzny</t>
  </si>
  <si>
    <t>Podsumowanie semestru II</t>
  </si>
  <si>
    <t>Liczba egzaminów: 3</t>
  </si>
  <si>
    <t>SEMESTR III</t>
  </si>
  <si>
    <t>Mikrobiologia</t>
  </si>
  <si>
    <t>Katedra i Zakład Mikrobiologii Farmaceutycznej z Pracownią Diagnostyki Mikrobiologicznej</t>
  </si>
  <si>
    <t>plus 1 ECTS/minus 5h/15 cw na sem/</t>
  </si>
  <si>
    <t>Immunologia</t>
  </si>
  <si>
    <t>Katedra i Zakład Immunologii Klinicznej</t>
  </si>
  <si>
    <t>prof. dr hab. n. med. Jacek Roliński</t>
  </si>
  <si>
    <t>Dermatologia</t>
  </si>
  <si>
    <t>Katedra i Klinika Dermatologii, Wenerologii i Dermatologii Dziecięcej</t>
  </si>
  <si>
    <t>minus10 h/20 cw na sem</t>
  </si>
  <si>
    <t>Pracownia Immunologii Chorób Skóry -</t>
  </si>
  <si>
    <t>dr n. med. Katarzyna Walczak - Profesor uczelni</t>
  </si>
  <si>
    <t>Dyspersja i inne zjawiska w preparatach kosmetycznych</t>
  </si>
  <si>
    <t>Zakład Chemii Fizycznej Katedry Chemii</t>
  </si>
  <si>
    <t>55-40 = 15</t>
  </si>
  <si>
    <t>minus 15 h</t>
  </si>
  <si>
    <t xml:space="preserve">Podstawy ziołolecznictwa </t>
  </si>
  <si>
    <t>Zakład Farmakognozji z Ogrodem Roślin Leczniczych</t>
  </si>
  <si>
    <t>minus 1 ECTS</t>
  </si>
  <si>
    <t>Podologia</t>
  </si>
  <si>
    <t xml:space="preserve">Język obcy dla kosmetologów/cz.2                    </t>
  </si>
  <si>
    <t>Kształtowanie sylwetki i postawy ciała/Ćwiczenia fitness "do wyboru"/cz.3-full</t>
  </si>
  <si>
    <t>W-F</t>
  </si>
  <si>
    <t>Wizaż i stylizacja</t>
  </si>
  <si>
    <t>Podsumowanie semestru III</t>
  </si>
  <si>
    <t>SEMESTR IV</t>
  </si>
  <si>
    <r>
      <t xml:space="preserve">Higiena </t>
    </r>
    <r>
      <rPr>
        <b/>
        <sz val="10"/>
        <color rgb="FFFF0000"/>
        <rFont val="Times New Roman"/>
        <family val="1"/>
        <charset val="238"/>
      </rPr>
      <t>w aspekcie zawodu kosmetologa</t>
    </r>
  </si>
  <si>
    <t>Katedra i Zakład Higieny</t>
  </si>
  <si>
    <t>Kosmetologia upiększająca</t>
  </si>
  <si>
    <t>Pracownia Kosmetologii i Medycyny Estetycznej</t>
  </si>
  <si>
    <t>E ustny</t>
  </si>
  <si>
    <t>Receptura kosmetyczna I</t>
  </si>
  <si>
    <t>Katedra i Zakład Farmacji Stosowanej i Społecznej</t>
  </si>
  <si>
    <t>Grupa treści uzupełniających</t>
  </si>
  <si>
    <t>Kosmetologia geriatryczna</t>
  </si>
  <si>
    <t>Marketing w kosmetologii</t>
  </si>
  <si>
    <t xml:space="preserve">Zakład Kosmetologii i Medycyny Estetycznej (Apteka on-line-CEM) </t>
  </si>
  <si>
    <t>Zasady prawidłowego żywienia i dietetyka</t>
  </si>
  <si>
    <t>Zakład Żywności i Żywienia</t>
  </si>
  <si>
    <t>Telekosmetologia</t>
  </si>
  <si>
    <t xml:space="preserve">Język obcy dla kosmetologów/cz.3                  </t>
  </si>
  <si>
    <t>Profilaktyka chorób społecznych/zdrowie publiczne</t>
  </si>
  <si>
    <t>Katedra Zdrowia Publicznego</t>
  </si>
  <si>
    <t>Socjologia</t>
  </si>
  <si>
    <t>Fakultet interprofesjonalny "tematyka do wyboru"</t>
  </si>
  <si>
    <t>Fakultety wolne - do wyboru  2 ECTS</t>
  </si>
  <si>
    <t>Gabinet kosmetyczny</t>
  </si>
  <si>
    <t>Podsumowanie semestru IV</t>
  </si>
  <si>
    <t>SEMESTR V</t>
  </si>
  <si>
    <t>Farmakologia</t>
  </si>
  <si>
    <t>Katedra i Zakład Farmakologii z Farmakodynamiką</t>
  </si>
  <si>
    <t>Estetyka</t>
  </si>
  <si>
    <t>Receptura kosmetyczna II</t>
  </si>
  <si>
    <t>Katedra i Zakład Syntezy i Technologii Środków Leczniczych</t>
  </si>
  <si>
    <t>Współczesne metody analizy instrumentalnej kosmetyków</t>
  </si>
  <si>
    <t>Zakład Chemii Analitycznej Katedry Chemii</t>
  </si>
  <si>
    <t>Kosmetyka anti-aging/Kosmetologia specjalistyczna</t>
  </si>
  <si>
    <t xml:space="preserve">Język obcy dla kosmetologów/cz.4-full                </t>
  </si>
  <si>
    <t>Ochrona własności intelektualnej</t>
  </si>
  <si>
    <t>Etyka i komunikacja zawodowa</t>
  </si>
  <si>
    <t>Katedra i Zaklad Nauk Humanistycznych i Medycyny Społecznej</t>
  </si>
  <si>
    <t>Fakultety wolne - do wyboru 6 ECTS</t>
  </si>
  <si>
    <t>Grupa treści w ramach warsztatów praktycznych</t>
  </si>
  <si>
    <t xml:space="preserve">Warsztaty praktyczne ("do wyboru") </t>
  </si>
  <si>
    <t>Podsumowanie semestru V</t>
  </si>
  <si>
    <t>SEMESTR VI</t>
  </si>
  <si>
    <t>Fizjoterapia i masaż</t>
  </si>
  <si>
    <t>Katedra Rehabilitacji, Fizjoterapii i Balneologii</t>
  </si>
  <si>
    <t>Podstawy toksykologii</t>
  </si>
  <si>
    <t>Katedra i Zakład Toksykologii</t>
  </si>
  <si>
    <t>Diagnostyka laboratoryjna</t>
  </si>
  <si>
    <t>Zakład Diagnostyki Laboratoryjnej</t>
  </si>
  <si>
    <t>Warsztaty grupowego poradnictwa zawodowego i aktywizacji zawodowej</t>
  </si>
  <si>
    <t>Biuro Karier UML</t>
  </si>
  <si>
    <t>PZiAZ</t>
  </si>
  <si>
    <t>poza macierzą</t>
  </si>
  <si>
    <t>Opieka kosmetologiczna nad osobami po zabiegach medycznych</t>
  </si>
  <si>
    <t>Mikropigmentacja medyczna w aspekcie opieki kosmetologicznej</t>
  </si>
  <si>
    <t>Fakultety wolne - do wyboru 4 ECTS</t>
  </si>
  <si>
    <t xml:space="preserve">Badania naukowe i egzamin dyplomowy </t>
  </si>
  <si>
    <t>PRACA DYPLOMOWA</t>
  </si>
  <si>
    <t>Jednostki UM</t>
  </si>
  <si>
    <t>PR</t>
  </si>
  <si>
    <t>minus 13 h na testy i ankiety</t>
  </si>
  <si>
    <t xml:space="preserve"> Biblioteka UM </t>
  </si>
  <si>
    <t>IN</t>
  </si>
  <si>
    <t>Egzamin dyplomowy</t>
  </si>
  <si>
    <t>E (DP)</t>
  </si>
  <si>
    <t>ED</t>
  </si>
  <si>
    <t>Podsumowanie semestru VI</t>
  </si>
  <si>
    <t>LG</t>
  </si>
  <si>
    <t>U%</t>
  </si>
  <si>
    <t>red g.</t>
  </si>
  <si>
    <t>red E.</t>
  </si>
  <si>
    <t>% g.</t>
  </si>
  <si>
    <t>% Ec</t>
  </si>
  <si>
    <t>LG (2021</t>
  </si>
  <si>
    <t>Przedmioty chemiczne (redukcja)</t>
  </si>
  <si>
    <t>Przedmioty chem.</t>
  </si>
  <si>
    <t>botaniczne treści</t>
  </si>
  <si>
    <t>Sumaryczne wskaźniki charakteryzujące program studiów</t>
  </si>
  <si>
    <t>2467 - 2500</t>
  </si>
  <si>
    <t>L.G</t>
  </si>
  <si>
    <t>%U</t>
  </si>
  <si>
    <t>W</t>
  </si>
  <si>
    <t>Ć</t>
  </si>
  <si>
    <t>S</t>
  </si>
  <si>
    <t>ZP</t>
  </si>
  <si>
    <t>Egz.D godz.</t>
  </si>
  <si>
    <t>Suma godz.</t>
  </si>
  <si>
    <t>Semestr I</t>
  </si>
  <si>
    <t>Semestr II</t>
  </si>
  <si>
    <t>Semestr III</t>
  </si>
  <si>
    <t>Semestr IV</t>
  </si>
  <si>
    <t>Semestr V</t>
  </si>
  <si>
    <t xml:space="preserve">Tok naliczania godzin </t>
  </si>
  <si>
    <t>Semestr VI</t>
  </si>
  <si>
    <t>2 h egz wliczone w seminaria pr. dypl.</t>
  </si>
  <si>
    <t>na podstawie  ECTS</t>
  </si>
  <si>
    <t>25*180</t>
  </si>
  <si>
    <t>Cały tok kształcenia</t>
  </si>
  <si>
    <r>
      <t xml:space="preserve">Ć+S </t>
    </r>
    <r>
      <rPr>
        <sz val="10"/>
        <rFont val="Symbol"/>
        <family val="1"/>
        <charset val="2"/>
      </rPr>
      <t>³</t>
    </r>
    <r>
      <rPr>
        <sz val="7.5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30%</t>
    </r>
  </si>
  <si>
    <t>=</t>
  </si>
  <si>
    <t>min</t>
  </si>
  <si>
    <t>Rok I</t>
  </si>
  <si>
    <t>Rok II</t>
  </si>
  <si>
    <t>stan faktyczny</t>
  </si>
  <si>
    <t>(25*176)+(30*4)</t>
  </si>
  <si>
    <t>(jezyk obcy)</t>
  </si>
  <si>
    <t>Rok III</t>
  </si>
  <si>
    <t xml:space="preserve">przedmioty podstawowe </t>
  </si>
  <si>
    <t>+</t>
  </si>
  <si>
    <t>(WF i PZiAZ bez ECTS)</t>
  </si>
  <si>
    <t xml:space="preserve">przedmioty kierunkowe </t>
  </si>
  <si>
    <t>z pracą dypl.</t>
  </si>
  <si>
    <t>przedmioty uzupełniające (bez wyboru)</t>
  </si>
  <si>
    <r>
      <t xml:space="preserve">przedmioty PAK (psycho-humanistyczno-społeczne) (ECTS </t>
    </r>
    <r>
      <rPr>
        <b/>
        <sz val="10"/>
        <rFont val="Calibri"/>
        <family val="2"/>
        <charset val="238"/>
      </rPr>
      <t>≥</t>
    </r>
    <r>
      <rPr>
        <b/>
        <sz val="7.5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  <scheme val="minor"/>
      </rPr>
      <t>5)</t>
    </r>
  </si>
  <si>
    <t xml:space="preserve">przedmioty uzupełniające "do wyboru" </t>
  </si>
  <si>
    <t>fakultety "do wyboru"</t>
  </si>
  <si>
    <t xml:space="preserve">warsztaty praktyczne ("do wyboru") </t>
  </si>
  <si>
    <t>praktyki zawodowe ("do wyboru)</t>
  </si>
  <si>
    <t>Praca dyplomowa ("do wyboru")</t>
  </si>
  <si>
    <t>Informacja naukowa</t>
  </si>
  <si>
    <t xml:space="preserve">Suma I stopień </t>
  </si>
  <si>
    <t>2500 (2560-60)</t>
  </si>
  <si>
    <r>
      <t xml:space="preserve">godziny kontaktowe         (ECTS  </t>
    </r>
    <r>
      <rPr>
        <b/>
        <sz val="10"/>
        <rFont val="Symbol"/>
        <family val="1"/>
        <charset val="2"/>
      </rPr>
      <t>³</t>
    </r>
    <r>
      <rPr>
        <b/>
        <sz val="10"/>
        <rFont val="Calibri"/>
        <family val="2"/>
        <charset val="238"/>
        <scheme val="minor"/>
      </rPr>
      <t xml:space="preserve"> 50%)</t>
    </r>
  </si>
  <si>
    <t>(2500 -140 godz.kontakt z opiekunem gabinetu w ramach praktyk (2x70))</t>
  </si>
  <si>
    <t>godziny niekontaktowe</t>
  </si>
  <si>
    <r>
      <t>(</t>
    </r>
    <r>
      <rPr>
        <b/>
        <sz val="10"/>
        <rFont val="Calibri"/>
        <family val="2"/>
        <charset val="238"/>
        <scheme val="minor"/>
      </rPr>
      <t>4582</t>
    </r>
    <r>
      <rPr>
        <sz val="10"/>
        <rFont val="Calibri"/>
        <family val="2"/>
        <charset val="238"/>
        <scheme val="minor"/>
      </rPr>
      <t xml:space="preserve"> - godz. kontaktowe)</t>
    </r>
  </si>
  <si>
    <t>zajęcia o charakterze
praktycznym, takie jak zajęcia laboratoryjne i projektowe</t>
  </si>
  <si>
    <r>
      <t xml:space="preserve">zajęcia "do wyboru"   (ECTS </t>
    </r>
    <r>
      <rPr>
        <b/>
        <sz val="10"/>
        <rFont val="Symbol"/>
        <family val="1"/>
        <charset val="2"/>
      </rPr>
      <t>³</t>
    </r>
    <r>
      <rPr>
        <b/>
        <sz val="10"/>
        <rFont val="Calibri"/>
        <family val="2"/>
        <charset val="238"/>
        <scheme val="minor"/>
      </rPr>
      <t xml:space="preserve"> 30%)</t>
    </r>
  </si>
  <si>
    <t>ECTS co najmniej 30%</t>
  </si>
  <si>
    <r>
      <t xml:space="preserve">przedmioty humanistyczne i społeczne (ECTS </t>
    </r>
    <r>
      <rPr>
        <b/>
        <sz val="10"/>
        <rFont val="Symbol"/>
        <family val="1"/>
        <charset val="2"/>
      </rPr>
      <t xml:space="preserve">³ </t>
    </r>
    <r>
      <rPr>
        <b/>
        <sz val="10"/>
        <rFont val="Calibri"/>
        <family val="2"/>
        <charset val="238"/>
        <scheme val="minor"/>
      </rPr>
      <t>5</t>
    </r>
    <r>
      <rPr>
        <b/>
        <sz val="10"/>
        <rFont val="Symbol"/>
        <family val="1"/>
        <charset val="2"/>
      </rPr>
      <t>)</t>
    </r>
  </si>
  <si>
    <t>ECTS co najmniej 5</t>
  </si>
  <si>
    <t>język obcy</t>
  </si>
  <si>
    <r>
      <t xml:space="preserve">zajęcia WF ( </t>
    </r>
    <r>
      <rPr>
        <b/>
        <sz val="10"/>
        <rFont val="Symbol"/>
        <family val="1"/>
        <charset val="2"/>
      </rPr>
      <t>³</t>
    </r>
    <r>
      <rPr>
        <b/>
        <sz val="10"/>
        <rFont val="Calibri"/>
        <family val="2"/>
        <charset val="238"/>
        <scheme val="minor"/>
      </rPr>
      <t xml:space="preserve"> 60h)</t>
    </r>
  </si>
  <si>
    <t>co najmniej 60 godzin</t>
  </si>
  <si>
    <t>zajęcia powiązane z praktycznym przygotowaniem zawodowym</t>
  </si>
  <si>
    <r>
      <t xml:space="preserve">zajęcia powiązane z prowadzonymi badaniami naukowymi (ECTS  </t>
    </r>
    <r>
      <rPr>
        <b/>
        <sz val="10"/>
        <rFont val="Symbol"/>
        <family val="1"/>
        <charset val="2"/>
      </rPr>
      <t>³</t>
    </r>
    <r>
      <rPr>
        <b/>
        <sz val="10"/>
        <rFont val="Calibri"/>
        <family val="2"/>
        <charset val="238"/>
        <scheme val="minor"/>
      </rPr>
      <t xml:space="preserve"> 50%)</t>
    </r>
  </si>
  <si>
    <t>wskaźnik S (część programu kształcenia realizowana w postaci zajęć dydaktycznych wymagających bezpośredniego udziału nauczycieli akademickich)</t>
  </si>
  <si>
    <t>2500 - 100 godz kontakt z nauczycielem w ramach praktyk - 10godz kontakt z nauczycielem w ramach pr. Mgr.</t>
  </si>
  <si>
    <t>(Godz./ECTS calego programu 1665- 100 zajecia w gabinecieKS+4(zaliczenie praktyk))-(150 praca dyplomowa)</t>
  </si>
  <si>
    <t>E-learning  (ECTS do 75%)</t>
  </si>
  <si>
    <t>E-wyklady</t>
  </si>
  <si>
    <t>E-seminaria</t>
  </si>
  <si>
    <t>Przedmioty Zakladu kosmetologii i med. estetycznej</t>
  </si>
  <si>
    <t>wyklady</t>
  </si>
  <si>
    <t>ćwiczenia</t>
  </si>
  <si>
    <t>seminaria</t>
  </si>
  <si>
    <t>praktyki</t>
  </si>
  <si>
    <t>zajęcia praktyczne</t>
  </si>
  <si>
    <t>% udzuał</t>
  </si>
  <si>
    <t>Obciążenie studenta</t>
  </si>
  <si>
    <t>godz.  w  toku ksztalcenia(w tym PZ+WF)</t>
  </si>
  <si>
    <t>ECTS min</t>
  </si>
  <si>
    <t>ECTS max</t>
  </si>
  <si>
    <t xml:space="preserve">godziny ogółem (z  ECTS) </t>
  </si>
  <si>
    <t>godziny ogółem (z  ECTS) +WF+PZiAZ</t>
  </si>
  <si>
    <r>
      <rPr>
        <sz val="9"/>
        <color theme="1"/>
        <rFont val="Calibri"/>
        <family val="2"/>
        <charset val="238"/>
        <scheme val="minor"/>
      </rPr>
      <t>Grupa tresc</t>
    </r>
    <r>
      <rPr>
        <sz val="10"/>
        <color theme="1"/>
        <rFont val="Calibri"/>
        <family val="2"/>
        <charset val="238"/>
        <scheme val="minor"/>
      </rPr>
      <t>i</t>
    </r>
  </si>
  <si>
    <t>L.G. all</t>
  </si>
  <si>
    <t>L.Z. all</t>
  </si>
  <si>
    <t>L.Z (G.K.)</t>
  </si>
  <si>
    <t>SK</t>
  </si>
  <si>
    <t>F.zal</t>
  </si>
  <si>
    <t>WP-UGK</t>
  </si>
  <si>
    <t>PZ-GZ</t>
  </si>
  <si>
    <t>Semestry</t>
  </si>
  <si>
    <t>%W</t>
  </si>
  <si>
    <t xml:space="preserve">%Ć </t>
  </si>
  <si>
    <t>%S</t>
  </si>
  <si>
    <t>%WP-UGK</t>
  </si>
  <si>
    <t>%PZ-GZ</t>
  </si>
  <si>
    <t>%SK</t>
  </si>
  <si>
    <t>Podsumowanie całego toku kształcenia</t>
  </si>
  <si>
    <t>P</t>
  </si>
  <si>
    <t>Formy</t>
  </si>
  <si>
    <t>%Ć</t>
  </si>
  <si>
    <t>K</t>
  </si>
  <si>
    <t>U</t>
  </si>
  <si>
    <t>U/OU</t>
  </si>
  <si>
    <t>U/PAK</t>
  </si>
  <si>
    <t>F</t>
  </si>
  <si>
    <t>Podsumowanie</t>
  </si>
  <si>
    <t>Statystyka</t>
  </si>
  <si>
    <t>śr.% SK</t>
  </si>
  <si>
    <t>%WP</t>
  </si>
  <si>
    <t>%PZ</t>
  </si>
  <si>
    <t>PZ_GZ</t>
  </si>
  <si>
    <t>P-p. podstawowy</t>
  </si>
  <si>
    <t>K-p.kierunkowy</t>
  </si>
  <si>
    <t>U-p.uzupełniający</t>
  </si>
  <si>
    <t>F-fakultet</t>
  </si>
  <si>
    <t>U/OU-p.uzupełniający/ogólnouczelniany</t>
  </si>
  <si>
    <t>U/PAK-p.uzupełniający z zakresu psycho-humanistyczno-społecznych aspektów kosmetologicznych</t>
  </si>
  <si>
    <t>Info z dn. 6.12.2022,</t>
  </si>
  <si>
    <t>Część 1:</t>
  </si>
  <si>
    <t>Część 2:</t>
  </si>
  <si>
    <t>Część 3:</t>
  </si>
  <si>
    <t>Część 4:</t>
  </si>
  <si>
    <t>Część 5:</t>
  </si>
  <si>
    <t>Część 6:</t>
  </si>
  <si>
    <t>Część 7:</t>
  </si>
  <si>
    <t>Część 8:</t>
  </si>
  <si>
    <t>2024_z macierzy</t>
  </si>
  <si>
    <t>Kody przedmiotów:</t>
  </si>
  <si>
    <t>PL - polskojęzyczny</t>
  </si>
  <si>
    <t>AM - Analityka medyczna</t>
  </si>
  <si>
    <t>P - Przedmiot</t>
  </si>
  <si>
    <t>ST - Stacjonarne dla PL</t>
  </si>
  <si>
    <t>2023/2026 - Cykl studiów</t>
  </si>
  <si>
    <t>1 - poziom kształcenia, st. I stopnia</t>
  </si>
  <si>
    <t>np.: 1/2/3 - semestry realizowania przedmiotu</t>
  </si>
  <si>
    <t>1 - kolejny numer przedmiotu</t>
  </si>
  <si>
    <t>PL.KO.P.ST.2024/2027.1.1.1</t>
  </si>
  <si>
    <t>P-1</t>
  </si>
  <si>
    <t>Przedmioty podstawowe</t>
  </si>
  <si>
    <t>Kod składa się z 8 części oddzielonych kropkami:</t>
  </si>
  <si>
    <t>EN - anglojęzyczny</t>
  </si>
  <si>
    <t>FA - Farmacja</t>
  </si>
  <si>
    <t>F - Fakultet</t>
  </si>
  <si>
    <t>NST - Niestacjonarne dla PL</t>
  </si>
  <si>
    <t>2 - poziom kształcenia, st. II stopnia</t>
  </si>
  <si>
    <t>np.: 4/6/9 - semestry realizowania przedmiotu</t>
  </si>
  <si>
    <t>2 - kolejny numer przedmiotu</t>
  </si>
  <si>
    <t>PL.KO.P.ST.2024/2027.1.2.2</t>
  </si>
  <si>
    <t>P-2</t>
  </si>
  <si>
    <t>gdzie, część 2 dla kierunków lub część 7 dla semestrów oddzielamy znakiem "/":</t>
  </si>
  <si>
    <t>FI - Fizjoterapia</t>
  </si>
  <si>
    <t>PZ - Praktyki zawodowe</t>
  </si>
  <si>
    <t>R - Regular dla EN</t>
  </si>
  <si>
    <t>3 - poziom kształcenia, jednolite magisterskie</t>
  </si>
  <si>
    <t>PL.KO.P.ST.2024/2027.1.2.3</t>
  </si>
  <si>
    <t>P-3</t>
  </si>
  <si>
    <t>LK - Lekarski</t>
  </si>
  <si>
    <t>ZP - Zajęcia praktyczne</t>
  </si>
  <si>
    <t>B - Bis dla EN</t>
  </si>
  <si>
    <t>PL.KO.P.ST.2024/2027.1.1.4</t>
  </si>
  <si>
    <t>P-4</t>
  </si>
  <si>
    <t>LD - Lekarsko-dentystyczny</t>
  </si>
  <si>
    <t xml:space="preserve">Farmakologia  </t>
  </si>
  <si>
    <t>PL.KO.P.ST.2024/2027.1.5.5</t>
  </si>
  <si>
    <t>P-5</t>
  </si>
  <si>
    <t>BI - Biomedycyna</t>
  </si>
  <si>
    <t xml:space="preserve">Fizjologia </t>
  </si>
  <si>
    <t>PL.KO.P.ST.2024/2027.1.2.6</t>
  </si>
  <si>
    <t>P-6</t>
  </si>
  <si>
    <t>DI - Dietetyka</t>
  </si>
  <si>
    <t>Higiena w aspekcie zawodu kosmetologa</t>
  </si>
  <si>
    <t>PL.KO.P.ST.2024/2027.1.4.7</t>
  </si>
  <si>
    <t>P-7</t>
  </si>
  <si>
    <t>Higiena</t>
  </si>
  <si>
    <r>
      <t xml:space="preserve">Higiena </t>
    </r>
    <r>
      <rPr>
        <sz val="10"/>
        <color rgb="FFFF0000"/>
        <rFont val="Calibri"/>
        <family val="2"/>
        <charset val="238"/>
        <scheme val="minor"/>
      </rPr>
      <t>w aspekcie zawodu kosmetologa</t>
    </r>
  </si>
  <si>
    <t>EL - Elektroradiologia</t>
  </si>
  <si>
    <t>PL.KO.P.ST.2024/2027.1.1.8</t>
  </si>
  <si>
    <t>P-8</t>
  </si>
  <si>
    <t>HS - Higiena stomatologiczna</t>
  </si>
  <si>
    <t>PL.KO.P.ST.2024/2027.1.3.9</t>
  </si>
  <si>
    <t>P-9</t>
  </si>
  <si>
    <t>KO - Kosmetologia</t>
  </si>
  <si>
    <t>PL.KO.P.ST.2024/2027.1.3.10</t>
  </si>
  <si>
    <t>P-10</t>
  </si>
  <si>
    <t>PI - Pielęgniarstwo</t>
  </si>
  <si>
    <t>PL.KO.P.ST.2024/2027.1.2.11</t>
  </si>
  <si>
    <t>P-11</t>
  </si>
  <si>
    <t>PO - Położnictwo</t>
  </si>
  <si>
    <t>PL.KO.P.ST.2024/2027.1.6.12</t>
  </si>
  <si>
    <t>P-12</t>
  </si>
  <si>
    <t>RM - Ratownictwo medyczne</t>
  </si>
  <si>
    <t xml:space="preserve">Chemia kosmetyczna </t>
  </si>
  <si>
    <t>PL.KO.P.ST.2024/2027.1.1.13</t>
  </si>
  <si>
    <t>P-13</t>
  </si>
  <si>
    <t>Przedmioty kierunkowe</t>
  </si>
  <si>
    <t>TD - Techniki dentystyczne</t>
  </si>
  <si>
    <t>PL.KO.P.ST.2024/2027.1.3.14</t>
  </si>
  <si>
    <t>P-14</t>
  </si>
  <si>
    <t>TP - Terapia zajęciowa</t>
  </si>
  <si>
    <t>PL.KO.P.ST.2024/2027.1.5.15</t>
  </si>
  <si>
    <t>P-15</t>
  </si>
  <si>
    <t>PS - Psychologia</t>
  </si>
  <si>
    <t>PL.KO.P.ST.2024/2027.1.6.16</t>
  </si>
  <si>
    <t>P-16</t>
  </si>
  <si>
    <t>ZP - Zdrowie Publiczne</t>
  </si>
  <si>
    <t>Kosmetologia pielęgnacyjna</t>
  </si>
  <si>
    <t>PL.KO.P.ST.2024/2027.1.1/2.17</t>
  </si>
  <si>
    <t>P-17</t>
  </si>
  <si>
    <t>6+4</t>
  </si>
  <si>
    <t>PL.KO.P.ST.2024/2027.1.4.18</t>
  </si>
  <si>
    <t>P-18</t>
  </si>
  <si>
    <t>PL.KO.P.ST.2024/2027.1.4.19</t>
  </si>
  <si>
    <t>P-19</t>
  </si>
  <si>
    <t>PL.KO.P.ST.2024/2027.1.5.20</t>
  </si>
  <si>
    <t>P-20</t>
  </si>
  <si>
    <t>Wprowadzenie do oceny właściwości surowców kosmet.</t>
  </si>
  <si>
    <t>PL.KO.P.ST.2024/2027.1.1.21</t>
  </si>
  <si>
    <t>P-21</t>
  </si>
  <si>
    <t>PL.KO.P.ST.2024/2027.1.1.22</t>
  </si>
  <si>
    <t>P-22</t>
  </si>
  <si>
    <t xml:space="preserve">Przednioty uzupełniające </t>
  </si>
  <si>
    <t>PL.KO.P.ST.2024/2027.1.6.23</t>
  </si>
  <si>
    <t>P-23</t>
  </si>
  <si>
    <t>Podstawy procesów fizyko-chemicznych w kosmetologii</t>
  </si>
  <si>
    <t>PL.KO.P.ST.2024/2027.1.3.24</t>
  </si>
  <si>
    <t>P-24</t>
  </si>
  <si>
    <t>zmiana nazwy</t>
  </si>
  <si>
    <t>Kierunki anglojęzyczne do opracowania.</t>
  </si>
  <si>
    <t>Kosmetologia  geriatryczna</t>
  </si>
  <si>
    <t>PL.KO.P.ST.2024/2027.1.4.25</t>
  </si>
  <si>
    <t>P-25</t>
  </si>
  <si>
    <t xml:space="preserve">Język obcy dla kosmetologów               </t>
  </si>
  <si>
    <t>PL.KO.P.ST.2024/2027.1.6.26</t>
  </si>
  <si>
    <t>P-26</t>
  </si>
  <si>
    <t>Mikropigmentacja medyczna w aspekcie opieki kosmet.</t>
  </si>
  <si>
    <t>PL.KO.P.ST.2024/2027.1.6.27</t>
  </si>
  <si>
    <t>P-27</t>
  </si>
  <si>
    <t>Opieka kosmetologiczna nad osob. po zabiegach med.</t>
  </si>
  <si>
    <t>PL.KO.P.ST.2024/2027.1.6.28</t>
  </si>
  <si>
    <t>P-28</t>
  </si>
  <si>
    <t xml:space="preserve">Podologia </t>
  </si>
  <si>
    <t>PL.KO.P.ST.2024/2027.1.3.29</t>
  </si>
  <si>
    <t>P-29</t>
  </si>
  <si>
    <t>PL.KO.P.ST.2024/2027.1.6.30</t>
  </si>
  <si>
    <t>P-30</t>
  </si>
  <si>
    <t>PL.KO.P.ST.2024/2027.1.3.31</t>
  </si>
  <si>
    <t>P-31</t>
  </si>
  <si>
    <t>PL.KO.P.ST.2024/2027.1.4.32</t>
  </si>
  <si>
    <t>P-32</t>
  </si>
  <si>
    <t>Skórne działania uboczne związków aktywnych</t>
  </si>
  <si>
    <t>PL.KO.P.ST.2024/2027.1.3.33</t>
  </si>
  <si>
    <t>P-33</t>
  </si>
  <si>
    <t>Język obcy dla kosmetologów</t>
  </si>
  <si>
    <t>PL.KO.P.ST.2024/2027.1.5.34</t>
  </si>
  <si>
    <t>P-34</t>
  </si>
  <si>
    <t xml:space="preserve">Technologie informacyjne </t>
  </si>
  <si>
    <t>nowy</t>
  </si>
  <si>
    <t>PL.KO.P.ST.2024/2027.1.4.35</t>
  </si>
  <si>
    <t>P-35</t>
  </si>
  <si>
    <t>PL.KO.P.ST.2024/2027.1.2/3/4/5.36</t>
  </si>
  <si>
    <t>P-38/RAK</t>
  </si>
  <si>
    <t>2022/2028 - Cykl studiów</t>
  </si>
  <si>
    <t>PL.KO.P.ST.2024/2027.1.1.37</t>
  </si>
  <si>
    <t>P-39/RAK</t>
  </si>
  <si>
    <t>PL.KO.P.ST.2024/2027.1.5.38</t>
  </si>
  <si>
    <t>P-40 dw</t>
  </si>
  <si>
    <t>Biochemiczne mechanizmy starzenia</t>
  </si>
  <si>
    <t>Kształtowanie sylwetki i postawy ciała/Ćwiczenia fitness</t>
  </si>
  <si>
    <t>PL.KO.P.ST.2024/2027.1.1/2/3.39</t>
  </si>
  <si>
    <t>P-41 dw/RAK</t>
  </si>
  <si>
    <t>Chromatografia w analizie kosmetyków</t>
  </si>
  <si>
    <t xml:space="preserve">Kształtowanie sylwetki i postawy ciała/Ćwiczenia fitness </t>
  </si>
  <si>
    <t xml:space="preserve">Podstawy ergonomii i BHP/Ocena narażenia zawodowego i BHP </t>
  </si>
  <si>
    <t>PL.KO.P.ST.2024/2027.1.1.40</t>
  </si>
  <si>
    <t>P-42 dw</t>
  </si>
  <si>
    <t xml:space="preserve">Kosmetologia specjalistyczna </t>
  </si>
  <si>
    <t>PL.KO.P.ST.2024/2027.1.4.41</t>
  </si>
  <si>
    <t>P-43 dw/PAK</t>
  </si>
  <si>
    <t>Kształtowanie sylwetki i postawy ciała</t>
  </si>
  <si>
    <t>Profilaktyka chorób społecznych/zdrowie publiczne/PAK</t>
  </si>
  <si>
    <t>PL.KO.P.ST.2024/2027.1.1.42</t>
  </si>
  <si>
    <t>P-44/PAK</t>
  </si>
  <si>
    <t>Mechanizmy ochrony skóry p/ reakt. form. tlenu</t>
  </si>
  <si>
    <t>Historia kosmetologii/PAK</t>
  </si>
  <si>
    <t>np.: 1/2/3 - semestry w których realizowany jest przedmiot</t>
  </si>
  <si>
    <t>PL.KO.P.ST.2024/2027.1.5.43</t>
  </si>
  <si>
    <t>P-45/PAK</t>
  </si>
  <si>
    <t>Ocena jakosci substancji roslinnych w prep.kosm.</t>
  </si>
  <si>
    <t>Etyka i komunikacja zawodowa/PAK</t>
  </si>
  <si>
    <t>np.: 4/6/9 - semestry w których realizowany jest przedmiot</t>
  </si>
  <si>
    <t>PL.KO.P.ST.2024/2027.1.1.44</t>
  </si>
  <si>
    <t>P-46/PAK</t>
  </si>
  <si>
    <t>Podstawy ergonomii i BHP</t>
  </si>
  <si>
    <t>Etykieta i komunikacja interpersonalna/PAK</t>
  </si>
  <si>
    <t>Część 8</t>
  </si>
  <si>
    <t>PL.KO.P.ST.2024/2027.1.5.45</t>
  </si>
  <si>
    <t>P-47/PAK</t>
  </si>
  <si>
    <t>Preparatyka substancji aktywnych w kosmetologii</t>
  </si>
  <si>
    <t>Ochrona własności intelektualnej/PAK</t>
  </si>
  <si>
    <t>1 - kolejny numer przedmiotu (dla tych samych części od 1 do 6, w przypadku innych danych numerowanie od 1)</t>
  </si>
  <si>
    <r>
      <t xml:space="preserve">Praca dyplomowa </t>
    </r>
    <r>
      <rPr>
        <sz val="11"/>
        <color rgb="FFFF0000"/>
        <rFont val="Calibri"/>
        <family val="2"/>
        <charset val="238"/>
        <scheme val="minor"/>
      </rPr>
      <t>z Informacją naukową</t>
    </r>
  </si>
  <si>
    <t>PL.KO.P.ST.2024/2027.1.6.46</t>
  </si>
  <si>
    <t>P-48 dw</t>
  </si>
  <si>
    <t>PD</t>
  </si>
  <si>
    <t>Profilaktyka chorób społecznych</t>
  </si>
  <si>
    <t>PRACA DYPLOMOWA z Informacją naukową i Egzamin dyplomowy</t>
  </si>
  <si>
    <t>Warsztaty praktyczne</t>
  </si>
  <si>
    <t>PL.KO.ZP.ST.2024/2027.1.5/6.1</t>
  </si>
  <si>
    <t>ZP-1 dw/UGK</t>
  </si>
  <si>
    <t xml:space="preserve">Prolegomena do kosmetyku naturalnego/ Rośliny kosmetyczne     </t>
  </si>
  <si>
    <t xml:space="preserve">Warsztaty praktyczne </t>
  </si>
  <si>
    <t>(dla tych samych części od 1 do 6, w przypadku innych danych numerowanie od 1)</t>
  </si>
  <si>
    <t xml:space="preserve">Praktyki zawodowe </t>
  </si>
  <si>
    <t>PL.KO.PZ.ST.2024/2027.1.2/4.1</t>
  </si>
  <si>
    <t>PZ-1 dw GZ</t>
  </si>
  <si>
    <t>PZ</t>
  </si>
  <si>
    <t xml:space="preserve">Psychoprofilaktyka </t>
  </si>
  <si>
    <t>Praktyki zawodowe śródroczne</t>
  </si>
  <si>
    <t>Przykładowy numer przedmiotu:</t>
  </si>
  <si>
    <t>Substancje lecznicze w kosmetykach</t>
  </si>
  <si>
    <t>PL.LK.P.ST.2022/2028.3.1/2/3.1</t>
  </si>
  <si>
    <t>Suplementy diety</t>
  </si>
  <si>
    <t>Toksyczność związków na stanowisku pracy</t>
  </si>
  <si>
    <t>Układy dyspersyjne w kosmetologii</t>
  </si>
  <si>
    <t>Ćwiczenia fitness</t>
  </si>
  <si>
    <t>Dieta a zdrowie skóry i przydatków skóry</t>
  </si>
  <si>
    <t>Etnobotanika w kosmetyce/Roślinne źródła antyoksydantów</t>
  </si>
  <si>
    <t>Formy kosmetyków</t>
  </si>
  <si>
    <t>Kosmetyka anti-aging</t>
  </si>
  <si>
    <t>Metody biotechnologiczne w kosmetologii</t>
  </si>
  <si>
    <t>Metody spektralne w kosmetologii</t>
  </si>
  <si>
    <t>Ocena narażenia zawodowego-BHP</t>
  </si>
  <si>
    <t>Standaryzacja i normalizacja substancji roślinnych</t>
  </si>
  <si>
    <t>Surowce przeciwwolnorodnikowe i promieniochronne</t>
  </si>
  <si>
    <t>Testy diagnostyczne</t>
  </si>
  <si>
    <t>Toksykologia substancji uzależniających</t>
  </si>
  <si>
    <t xml:space="preserve">Wizerunek w kosmetologii </t>
  </si>
  <si>
    <t>Zdrowie publiczne</t>
  </si>
  <si>
    <t>Zjawiska międzyfazowe w kosmetologii</t>
  </si>
  <si>
    <t>Praca dyplomowa</t>
  </si>
  <si>
    <t>Zajęcia fakultatywne</t>
  </si>
  <si>
    <t>Jednostka realizująca</t>
  </si>
  <si>
    <t>kody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</si>
  <si>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 roku, w semestrze I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4 ECTS</t>
    </r>
  </si>
  <si>
    <t>L.p.</t>
  </si>
  <si>
    <t>Tytuł fakultetu</t>
  </si>
  <si>
    <t>rok</t>
  </si>
  <si>
    <t>semestr</t>
  </si>
  <si>
    <t>h/ECTS</t>
  </si>
  <si>
    <t>Forma zajęć</t>
  </si>
  <si>
    <t>1.</t>
  </si>
  <si>
    <t>Personal shopper / Doradca zakupowy</t>
  </si>
  <si>
    <t>I</t>
  </si>
  <si>
    <t>15/1</t>
  </si>
  <si>
    <t>15 sem</t>
  </si>
  <si>
    <t>PL.KO.F.ST.2024/2027.1.1.1</t>
  </si>
  <si>
    <t>2.</t>
  </si>
  <si>
    <t>Stres i jak sobie z nim radzić?</t>
  </si>
  <si>
    <t>PL.KO.F.ST.2024/2027.1.1.2</t>
  </si>
  <si>
    <t>3.</t>
  </si>
  <si>
    <t>Etnobotanika w kosmetyce</t>
  </si>
  <si>
    <t>PL.KO.F.ST.2024/2027.1.1.3</t>
  </si>
  <si>
    <t>4.</t>
  </si>
  <si>
    <t>e-Zdrowie</t>
  </si>
  <si>
    <t>PL.KO.F.ST.2024/2027.1.1.4</t>
  </si>
  <si>
    <t>5.</t>
  </si>
  <si>
    <t>Metalo-biochelaty w kosmetologii?</t>
  </si>
  <si>
    <t>8 ćw+7 sem</t>
  </si>
  <si>
    <t>PL.KO.F.ST.2024/2027.1.1.5</t>
  </si>
  <si>
    <t>6.</t>
  </si>
  <si>
    <t>Skuteczność p/wolnorodnikowa i promieniochronna kosmetyków</t>
  </si>
  <si>
    <t>PL.KO.F.ST.2024/2027.1.1.6</t>
  </si>
  <si>
    <t>7.</t>
  </si>
  <si>
    <t>Techniki  manualnego oczyszczania</t>
  </si>
  <si>
    <t>PL.KO.F.ST.2024/2027.1.1.7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</si>
  <si>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 roku, w semestrze II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6 ECTS</t>
    </r>
  </si>
  <si>
    <t xml:space="preserve">Prolegomena do kosmetyku naturalnego </t>
  </si>
  <si>
    <t>10/1</t>
  </si>
  <si>
    <t>10 sem</t>
  </si>
  <si>
    <t>5 ćw+5 sem</t>
  </si>
  <si>
    <t>PL.KO.F.ST.2024/2027.1.2.8</t>
  </si>
  <si>
    <t>Język migowy</t>
  </si>
  <si>
    <t>20/2</t>
  </si>
  <si>
    <t>20 sem</t>
  </si>
  <si>
    <t>Katedra Farmakognozji i Botaniki Farmaceutycznej</t>
  </si>
  <si>
    <t>PL.KO.F.ST.2024/2027.1.2.9</t>
  </si>
  <si>
    <t>Psychologia klienta - typologia klienta</t>
  </si>
  <si>
    <t>PL.KO.F.ST.2024/2027.1.2.10</t>
  </si>
  <si>
    <t>Techniki redukcji przebarwień</t>
  </si>
  <si>
    <t>PL.KO.F.ST.2024/2027.1.2.11</t>
  </si>
  <si>
    <t>Techniki fotoodmładzania</t>
  </si>
  <si>
    <t>PL.KO.F.ST.2024/2027.1.2.12</t>
  </si>
  <si>
    <t>Korekta defektów paznokci</t>
  </si>
  <si>
    <t>PL.KO.F.ST.2024/2027.1.2.13</t>
  </si>
  <si>
    <t>Procedury higieniczne w gabinecie kosmetologicznym</t>
  </si>
  <si>
    <t>PL.KO.F.ST.2024/2027.1.2.14</t>
  </si>
  <si>
    <t>8.</t>
  </si>
  <si>
    <t>Naturalne metody pielęgnacji płytki paznokciowej</t>
  </si>
  <si>
    <t>PL.KO.F.ST.2024/2027.1.2.15</t>
  </si>
  <si>
    <t>9.</t>
  </si>
  <si>
    <t>Naturalne metody pielęgnacji dłoni i stóp</t>
  </si>
  <si>
    <t>PL.KO.F.ST.2024/2027.1.2.16</t>
  </si>
  <si>
    <t>10.</t>
  </si>
  <si>
    <t>Techniki depilacji</t>
  </si>
  <si>
    <t>PL.KO.F.ST.2024/2027.1.2.17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</si>
  <si>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II roku, w semestrze III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6 ECTS</t>
    </r>
  </si>
  <si>
    <t>Techniki manualne w kosmetologii</t>
  </si>
  <si>
    <t>II</t>
  </si>
  <si>
    <t>15 ćw+5 sem</t>
  </si>
  <si>
    <t>PL.KO.F.ST.2024/2027.1.3.18</t>
  </si>
  <si>
    <t xml:space="preserve">Roślinne źródła antyoksydantów </t>
  </si>
  <si>
    <t>PL.KO.F.ST.2024/2027.1.3.19</t>
  </si>
  <si>
    <t>Ocena jakosci substancji roślinnych w preparatach kosmetycznych</t>
  </si>
  <si>
    <t>PL.KO.F.ST.2024/2027.1.3.20</t>
  </si>
  <si>
    <t>Nowe opatentowane składniki aktywne w preparatach p/trądzikowych</t>
  </si>
  <si>
    <t>PL.KO.F.ST.2024/2027.1.3.21</t>
  </si>
  <si>
    <t>Sprzedaż i social media w kosmetologii</t>
  </si>
  <si>
    <t>PL.KO.F.ST.2024/2027.1.3.22</t>
  </si>
  <si>
    <t>Metody korekcji postawy w kosmetologii</t>
  </si>
  <si>
    <t>PL.KO.F.ST.2024/2027.1.3.23</t>
  </si>
  <si>
    <t>Rodzaje defektów stóp</t>
  </si>
  <si>
    <t>PL.KO.F.ST.2024/2027.1.3.24</t>
  </si>
  <si>
    <t>PL.KO.F.ST.2024/2027.1.3.25</t>
  </si>
  <si>
    <t>PL.KO.F.ST.2024/2027.1.3.26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</si>
  <si>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II roku, w semestrze IV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3 ECTS, w tym obowiązkowo fakultet interprofesjonalny w liczbie 2 ECTS</t>
    </r>
  </si>
  <si>
    <t>PL.KO.F.ST.2024/2027.1.4.27</t>
  </si>
  <si>
    <t>PL.KO.F.ST.2024/2027.1.4.28</t>
  </si>
  <si>
    <t>PL.KO.F.ST.2024/2027.1.4.29</t>
  </si>
  <si>
    <t>Diagnostyka skóry jako narzędzie w marketingu gabinetu/usług kosmetologicznych</t>
  </si>
  <si>
    <t>PL.KO.F.ST.2024/2027.1.4.30</t>
  </si>
  <si>
    <t>Kompleksowa analiza skóry</t>
  </si>
  <si>
    <t>PL.KO.F.ST.2024/2027.1.4.31</t>
  </si>
  <si>
    <t>Urządzenia specjalistyczne w kosmetologii</t>
  </si>
  <si>
    <t>PL.KO.F.ST.2024/2027.1.4.32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</si>
  <si>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III roku, w semestrze V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6 ECTS</t>
    </r>
  </si>
  <si>
    <t>Jakie substancje odpowiadają za działanie kosmetyku? - analiza metodami chromatograficznymi</t>
  </si>
  <si>
    <t>III</t>
  </si>
  <si>
    <t>PL.KO.F.ST.2024/2027.1.5.33</t>
  </si>
  <si>
    <t>Praktyczne zastosowanie metod biotechnologicznych w produkcji kosmeceutyków</t>
  </si>
  <si>
    <t>PL.KO.F.ST.2024/2027.1.5.34</t>
  </si>
  <si>
    <t>PL.KO.F.ST.2024/2027.1.5.35</t>
  </si>
  <si>
    <t>PL.KO.F.ST.2024/2027.1.5.36</t>
  </si>
  <si>
    <t>Wpływ diety na skórę, czyli jak zachować piękną cerę</t>
  </si>
  <si>
    <t>Zakład Edukacji Dietetycznej i Żywieniowej/Prof. Fornal</t>
  </si>
  <si>
    <t>PL.KO.F.ST.2024/2027.1.5.37</t>
  </si>
  <si>
    <t>Specjalistyczne metody stylizacji rzęs</t>
  </si>
  <si>
    <t>PL.KO.F.ST.2024/2027.1.5.38</t>
  </si>
  <si>
    <t xml:space="preserve">Skórne działania uboczne związków aktywnych </t>
  </si>
  <si>
    <t xml:space="preserve">Jednostki WF UML </t>
  </si>
  <si>
    <t>PL.KO.F.ST.2024/2027.1.5.39</t>
  </si>
  <si>
    <t xml:space="preserve">Wprowadzenie kosmetyku na rynek </t>
  </si>
  <si>
    <t>PL.KO.F.ST.2024/2027.1.5.40</t>
  </si>
  <si>
    <t>PL.KO.F.ST.2024/2027.1.5.41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</si>
  <si>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III roku, w semestrze VI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4 ECTS</t>
    </r>
  </si>
  <si>
    <t>PL.KO.F.ST.2024/2027.1.6.42</t>
  </si>
  <si>
    <t xml:space="preserve">Propedeutyka badań ankietowych </t>
  </si>
  <si>
    <t>PL.KO.F.ST.2024/2027.1.6.43</t>
  </si>
  <si>
    <t xml:space="preserve">Testy diagnostyczne </t>
  </si>
  <si>
    <t>PL.KO.F.ST.2024/2027.1.6.44</t>
  </si>
  <si>
    <t>Czy w moim kosmetyku są metale ciężkie i czy pozwala na to prawo?</t>
  </si>
  <si>
    <t>10 ćw+5 sem</t>
  </si>
  <si>
    <t>PL.KO.F.ST.2024/2027.1.6.45</t>
  </si>
  <si>
    <t xml:space="preserve">Podstawy aranżowania i menedżerowania gabinetem kosmetologicznym </t>
  </si>
  <si>
    <t>PL.KO.F.ST.2024/2027.1.6.46</t>
  </si>
  <si>
    <t>Bezpieczny kosmetyk - monitorowanie substancji leczniczych w kosmetykach</t>
  </si>
  <si>
    <t>PL.KO.F.ST.2024/2027.1.6.47</t>
  </si>
  <si>
    <t>Propozycja: seminaria praktyczne mogą być prowadzone w formie pokazu przy udziale studentów dla grupy 30 osobowej, lub realizacji z zastosowaniem metody odwróconej klasy/akwarium itp.</t>
  </si>
  <si>
    <t>Nauki</t>
  </si>
  <si>
    <t>ECTS/semestr</t>
  </si>
  <si>
    <t>ECTS-NF</t>
  </si>
  <si>
    <t>ECTS-NoZ</t>
  </si>
  <si>
    <t>ECTS-NM</t>
  </si>
  <si>
    <t>ECTS-OU</t>
  </si>
  <si>
    <t>NM</t>
  </si>
  <si>
    <t>NF</t>
  </si>
  <si>
    <t>NoZ</t>
  </si>
  <si>
    <t>OU</t>
  </si>
  <si>
    <t>PAK</t>
  </si>
  <si>
    <t>N/2</t>
  </si>
  <si>
    <t>w kontekście oceny mikro preparatow kosmetycznych</t>
  </si>
  <si>
    <t>N/3</t>
  </si>
  <si>
    <t>Suma</t>
  </si>
  <si>
    <t>% bez OU</t>
  </si>
  <si>
    <t>I rok, I semestr</t>
  </si>
  <si>
    <t>Cykl kształcenia</t>
  </si>
  <si>
    <t>Formy zaliczenia przedmiotu</t>
  </si>
  <si>
    <t>Z cz. przedmiotu*</t>
  </si>
  <si>
    <t>% udział</t>
  </si>
  <si>
    <t>Z cz.</t>
  </si>
  <si>
    <t>Psychoprofilaktyka</t>
  </si>
  <si>
    <t>Ocena narażenia zawodowego i BHP</t>
  </si>
  <si>
    <t>I rok, II semestr</t>
  </si>
  <si>
    <t>E (1 FL)</t>
  </si>
  <si>
    <t>E (flagowy)</t>
  </si>
  <si>
    <t xml:space="preserve">Język obcy dla kosmetologów       </t>
  </si>
  <si>
    <t xml:space="preserve">Prolegomena do kosmetyku naturalnego/ Rośliny kosmetyczne        </t>
  </si>
  <si>
    <t>Z cz</t>
  </si>
  <si>
    <t>II rok, III semestr</t>
  </si>
  <si>
    <t>Podstawy procesów fizykochemicznych w kosmetologii</t>
  </si>
  <si>
    <t xml:space="preserve">E </t>
  </si>
  <si>
    <t>.</t>
  </si>
  <si>
    <t>Wizerunek w kosmetologii</t>
  </si>
  <si>
    <t>II rok, IV semestr</t>
  </si>
  <si>
    <t>egz T na egz. ustny</t>
  </si>
  <si>
    <t xml:space="preserve">ZO </t>
  </si>
  <si>
    <t>(2/P+P)</t>
  </si>
  <si>
    <t>(2/P+F)</t>
  </si>
  <si>
    <t>III rok, V semestr</t>
  </si>
  <si>
    <t xml:space="preserve">Język obcy dla kosmetologów         </t>
  </si>
  <si>
    <t>Mechanizmy ochrony skóry przed reaktywnymi formami tlenu</t>
  </si>
  <si>
    <t>III rok, VI semestr</t>
  </si>
  <si>
    <t>przedmiot bez efektow</t>
  </si>
  <si>
    <t xml:space="preserve">Biochemiczne mechanizmy starzenia </t>
  </si>
  <si>
    <t>Surowce p/wolnorodnikowe i promieniochronne</t>
  </si>
  <si>
    <t xml:space="preserve">Opieka kosmetologiczna nad osobami po zabiegach medycznych  </t>
  </si>
  <si>
    <t>E mini-OSCE</t>
  </si>
  <si>
    <t>PRACA DYPLOMOWA (PR+IN)</t>
  </si>
  <si>
    <t>ZO (Pr+IN)</t>
  </si>
  <si>
    <t>* Z cz.  (semestralne) przedmiotu wielosemestralnego</t>
  </si>
  <si>
    <r>
      <rPr>
        <sz val="12"/>
        <color theme="1"/>
        <rFont val="Calibri"/>
        <family val="2"/>
        <charset val="238"/>
        <scheme val="minor"/>
      </rPr>
      <t xml:space="preserve">Obciążenie godzinowe studentów kierunku </t>
    </r>
    <r>
      <rPr>
        <b/>
        <u/>
        <sz val="12"/>
        <color theme="1"/>
        <rFont val="Calibri"/>
        <family val="2"/>
        <charset val="238"/>
        <scheme val="minor"/>
      </rPr>
      <t>Kosmetologia</t>
    </r>
    <r>
      <rPr>
        <sz val="12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
(i) zgodnie z wytycznymi w zakresie projektowania programów studiów na studiach prowadzonych w UML (Załącznik do Uchwały Nr XXXV/2020 Senatu UML z dnia 16 grudnia 2020 r. – wytyczne w zakresie projektowania i ustalania programów studiów prowadzonych w UML, ze zm. (Uchwała Nr 137/2022 Senatu UML z dnia 26 stycznia 2022 r.)
(ii) zgodnie z Ustawą z dnia 20 lipca 2018 roku Prawo o szkolnictwie wyższym i nauce ( Dz. U. z 2020 roku, poz. 85 ze zm.)
(iii) zgodnie z obwieszczeniem MINISTRA EDUKACJI I NAUKI z dnia 23 listopada 2023 r. w sprawie ogłoszenia jednolitego tekstu rozporządzenia Ministra Nauki i Szkolnictwa Wyższego w sprawie studiów
</t>
    </r>
  </si>
  <si>
    <t>Kierunek studiów</t>
  </si>
  <si>
    <t>Liczba godzin zajęć                  (w tym praktyki -GZ)</t>
  </si>
  <si>
    <t>Liczba ECTS*</t>
  </si>
  <si>
    <t>Liczba semestrów</t>
  </si>
  <si>
    <t>Liczba godzin ogółem**</t>
  </si>
  <si>
    <t>Liczba godzin na:</t>
  </si>
  <si>
    <t>Liczba godzin zajęć ogółem                 (w tym praktyki-GZ)</t>
  </si>
  <si>
    <t>Liczba godzin ogółem + WF+PZiAZ</t>
  </si>
  <si>
    <r>
      <t>tydzień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</si>
  <si>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dzień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</si>
  <si>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dzień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</si>
  <si>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t>tydzień</t>
  </si>
  <si>
    <t>7-dni roboczych</t>
  </si>
  <si>
    <t>5-dni roboczych</t>
  </si>
  <si>
    <t>3-dni robocze</t>
  </si>
  <si>
    <t>Kosmetologia, studia I stopnia</t>
  </si>
  <si>
    <t>* przy założeniu, że 176 ECTS*25h + 4 ECTS*30h (język obcy)</t>
  </si>
  <si>
    <t>godziny dydaktyczne</t>
  </si>
  <si>
    <t>godziny zegarowe</t>
  </si>
  <si>
    <t>** godziny kontaktowe i niekontaktowe</t>
  </si>
  <si>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w przeliczeniu na tydzień (15 tygodni w semestrze)</t>
    </r>
  </si>
  <si>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w przeliczeniu na dzień (w przypadku 5-dni roboczych/tydzień)</t>
    </r>
  </si>
  <si>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w przeliczeniu na dzień (w przypadku 7-dni roboczych/tydzień)</t>
    </r>
  </si>
  <si>
    <t>Liczba godzin zajęć                      (w tym praktyki-GZ)</t>
  </si>
  <si>
    <t>Liczba godzin zajęć ogółem                      (w tym praktyki-GZ)</t>
  </si>
  <si>
    <t>Liczba godzin ogółem +WF+BHP</t>
  </si>
  <si>
    <t>Kosmetologia, studia II stopnia</t>
  </si>
  <si>
    <t>* przy założeniu, że 119 ECTS*25h + 1 ECTS*30h (język obcy)</t>
  </si>
  <si>
    <t>kalkulacja CEM (Pani Goś)</t>
  </si>
  <si>
    <t>Sumaryczne wskaźniki charakteryzujące program kształcenia dla kierunku Kosmetologia studia I stopnia</t>
  </si>
  <si>
    <t>cykl kształcenia 2024_2027</t>
  </si>
  <si>
    <t>Procentowy udział form realizacji przedmiotu (%U)</t>
  </si>
  <si>
    <t>L. godz.</t>
  </si>
  <si>
    <t>(%U)</t>
  </si>
  <si>
    <t>Wykłady</t>
  </si>
  <si>
    <t>Seminaria</t>
  </si>
  <si>
    <t>Razem</t>
  </si>
  <si>
    <t>rok poprzedni 2023</t>
  </si>
  <si>
    <t>Cykl kształcenia 2023_2026</t>
  </si>
  <si>
    <t>różnice, %</t>
  </si>
  <si>
    <t>przedmioty uzupełniające</t>
  </si>
  <si>
    <t>warsztaty praktyczne</t>
  </si>
  <si>
    <t>praktyki zawodowe</t>
  </si>
  <si>
    <t>godziny wymagające bezpośredniego udziału nauczycieli akademickich                 (godziny kontaktowe)</t>
  </si>
  <si>
    <t>godziny nie wymagające bezpośredniego udziału nauczycieli akademickich               (godziny niekontaktowe)</t>
  </si>
  <si>
    <t>zajęcia o charakterze praktycznym (zajęcia laboratoryjne, projektowe)</t>
  </si>
  <si>
    <t>zajęcia "do wyboru"</t>
  </si>
  <si>
    <t>zajęcia z zakresu nauk humanistycznych i społecznych</t>
  </si>
  <si>
    <t>zajęcia z języka obcego</t>
  </si>
  <si>
    <t>zajęcia wychowania fizycznego</t>
  </si>
  <si>
    <t xml:space="preserve">zajęcia powiązane z prowadzonymi badaniami naukowymi </t>
  </si>
  <si>
    <t>e-learning</t>
  </si>
  <si>
    <t xml:space="preserve">1. Dokumentacja w zakresie ustalonych efektów uczenia się powinna zawierać: (każdy załącznik w pdf): </t>
  </si>
  <si>
    <t>a) opis zakładanych kierunkowych efektów uczenia się  -  załącznik Nr 1</t>
  </si>
  <si>
    <t>b) macierz efektów uczenia się - załącznik Nr 2a/2b</t>
  </si>
  <si>
    <t>c) tabelę kierunkowych efektów uczenia się w odniesieniu do form R i metod W -  załącznik Nr 3</t>
  </si>
  <si>
    <t>d) tabelę odniesienia kierunkowych efektów uczenia się do PRK - załącznik Nr 4</t>
  </si>
  <si>
    <t>e) ogólna charakterystyka studiów</t>
  </si>
  <si>
    <t>2. Opinia Samorządu studentów i Interesariuszy zewnętrznych</t>
  </si>
  <si>
    <t>3. Spotkanie z nauczycielami akademickimi na ZOOM, w celu przedstawienia programu i planu studiów</t>
  </si>
  <si>
    <t xml:space="preserve">4. Zamieszczenie w Intranecie bazy przedmiotów wraz z formą zaliczenia przedmiotu na okres od 07.01.2021r. do 14.01.2021r. </t>
  </si>
  <si>
    <t>5. Poinformowanie nauczycieli akademickich, w celu zapoznania się z ofertą przedmiotów na danym kierunku bazę przedmiotów proszę wysłać na adres: aktualizacje@umlub.pl</t>
  </si>
  <si>
    <t>6. Wskaźniki procentowe określające udział wszystkich form realizacji przedmiotu w odniesieniu do: poszczególnych semestrów, lat studiów oraz całego toku kształcenia w rozbiciu na wykłady, seminaria i ćwiczenia.</t>
  </si>
  <si>
    <t>Jakie przedmioty są realizowane od początku do końca w formie online i taka forma zajęć została wpisana do programów studiów?</t>
  </si>
  <si>
    <t>Jednostka UML</t>
  </si>
  <si>
    <t>Forma</t>
  </si>
  <si>
    <t>full on-line</t>
  </si>
  <si>
    <r>
      <t>Wskaźnik S</t>
    </r>
    <r>
      <rPr>
        <sz val="11"/>
        <color theme="1"/>
        <rFont val="Calibri"/>
        <family val="2"/>
        <charset val="238"/>
        <scheme val="minor"/>
      </rPr>
      <t xml:space="preserve"> = Suma: ECTS przedmiotów P,K,U,PAK,F+ECTS kontaktowe Praktyk + ECTS kontaktowe praca mgr (10h)</t>
    </r>
  </si>
  <si>
    <r>
      <t>1 ECTS = 25h</t>
    </r>
    <r>
      <rPr>
        <sz val="11"/>
        <color theme="1"/>
        <rFont val="Calibri"/>
        <family val="2"/>
        <charset val="238"/>
        <scheme val="minor"/>
      </rPr>
      <t>, wyjątki: jezyki z 1 ECTS = 30h (jezyk obcy 120h/4)</t>
    </r>
  </si>
  <si>
    <r>
      <t>zajęcia o charakterze praktycznym</t>
    </r>
    <r>
      <rPr>
        <sz val="10"/>
        <color theme="1"/>
        <rFont val="Calibri"/>
        <family val="2"/>
        <charset val="238"/>
        <scheme val="minor"/>
      </rPr>
      <t xml:space="preserve"> = ćwiczenia kształcące umiejętności na bazie laboratorium, zajęcia praktyczne, praktyki</t>
    </r>
  </si>
  <si>
    <t>zajęcia "do wyboru":</t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</si>
  <si>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„do wyboru” , przedmioty uzupelniajace wybierane,  fakultety interprofesjonalne i wolne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</si>
  <si>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 xml:space="preserve">warsztaty praktyczne „do wyboru” wybierana tematyka/umiejętnosc 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</si>
  <si>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praktyka zawodowa „do wyboru” wybierane umiejetności - laboratorium/SPA/gabinet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</si>
  <si>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praca dyplomowa „do wyboru” (bez informacji naukowej i Egz dypl.) wybierana tematyka/problem badań/metodyka badawcza</t>
    </r>
  </si>
  <si>
    <t>zajęcia powiązane z „praktycznym przygotowaniem zawodowym”</t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</si>
  <si>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kierunkowe rozwijające umiejętności kosmetologiczne+związane z kosmetykiem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</si>
  <si>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uzupełniające związane z kierunkiem rozwijające umiejętności kosmetologiczne+związane z kosmetykiem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</si>
  <si>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fakultety rozwijające umiejętności rozwijające umiejętności kosmetologiczne+związane z kosmetykiem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</si>
  <si>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warsztaty praktyczne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</si>
  <si>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praktyka zawodowa</t>
    </r>
  </si>
  <si>
    <t>zajęcia powiązane z „prowadzonymi badaniami naukowymi”</t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</si>
  <si>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podstawowe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</si>
  <si>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kierunkowe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</si>
  <si>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uzupełniające</t>
    </r>
  </si>
  <si>
    <t>przekazujące treści bazujące na  dokonaniach nauki i zasadach praktyki czerpiących z poznania naukowego w zakresie właściwym dla kierunku kosmetologia</t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</si>
  <si>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praca dyplomowa</t>
    </r>
  </si>
  <si>
    <t>E-learning</t>
  </si>
  <si>
    <t>Immunlogia</t>
  </si>
  <si>
    <t>Informacja naukowa-praca dyplomowa</t>
  </si>
  <si>
    <t>chemia kosmetyczna</t>
  </si>
  <si>
    <t>+++</t>
  </si>
  <si>
    <t>Kwalifikowana pierwsza pomoc medyczna</t>
  </si>
  <si>
    <t>suma</t>
  </si>
  <si>
    <t>Praca dyplomowa/seminarium indywidualne</t>
  </si>
  <si>
    <t>Praca dyplomowa/Informacja naukowa</t>
  </si>
  <si>
    <t>Praca dyplomowa/Egzamin dyplomowy</t>
  </si>
  <si>
    <t>Katedra/Zakład</t>
  </si>
  <si>
    <t>Godz</t>
  </si>
  <si>
    <t>Suma2018 godz</t>
  </si>
  <si>
    <t>Suma2019 godz</t>
  </si>
  <si>
    <t>Suma godz</t>
  </si>
  <si>
    <t>dodane</t>
  </si>
  <si>
    <t>godz.II stopien</t>
  </si>
  <si>
    <t>RAZEM</t>
  </si>
  <si>
    <t>cw</t>
  </si>
  <si>
    <t>sem</t>
  </si>
  <si>
    <t>wykl</t>
  </si>
  <si>
    <t>Zakład Ratownictwa Medycznego</t>
  </si>
  <si>
    <t>285x4</t>
  </si>
  <si>
    <t>80x2</t>
  </si>
  <si>
    <t>200x3</t>
  </si>
  <si>
    <t>25x4</t>
  </si>
  <si>
    <t>45x2</t>
  </si>
  <si>
    <t>60x3</t>
  </si>
  <si>
    <t>Zakład Historii Nauk Medycznych</t>
  </si>
  <si>
    <t>Katedra i Zakład Zdrowia Publicznego</t>
  </si>
  <si>
    <t xml:space="preserve">Zakład Psychologii Stosowanej </t>
  </si>
  <si>
    <t>Katedra  i Zakład Zarządzania w Pielęgniarstwie</t>
  </si>
  <si>
    <t>Katedra i Zakład Botaniki Farmaceutycznej</t>
  </si>
  <si>
    <t xml:space="preserve">Katedra i Klinika Dermatologii </t>
  </si>
  <si>
    <t>Katedra i Zakład Farmakognozji z Pracownią Roślin Leczniczych</t>
  </si>
  <si>
    <t>Katedra i Zakład Farmacji Stosowanej</t>
  </si>
  <si>
    <t>Katedra i Zakład Żywności i Żywienia</t>
  </si>
  <si>
    <t>Zakład Etyki i Filozofii Człowieka</t>
  </si>
  <si>
    <t>I st. KS</t>
  </si>
  <si>
    <t>Liczba godzin z planu studiów , tok kształcenia 2023-2026</t>
  </si>
  <si>
    <t>100h c na s</t>
  </si>
  <si>
    <t>zajecia praktyczne cw na sem</t>
  </si>
  <si>
    <t>Liczba godzin w realizacji</t>
  </si>
  <si>
    <t>Limit przyjęć = 40 os.</t>
  </si>
  <si>
    <t>1x40</t>
  </si>
  <si>
    <t>4x10</t>
  </si>
  <si>
    <t>2x20</t>
  </si>
  <si>
    <t>%ECTS</t>
  </si>
  <si>
    <t>Limit przyjęć = 60 os.</t>
  </si>
  <si>
    <t>1x60</t>
  </si>
  <si>
    <t>6x10</t>
  </si>
  <si>
    <t>2x30</t>
  </si>
  <si>
    <t>3x20</t>
  </si>
  <si>
    <t xml:space="preserve">Różnica </t>
  </si>
  <si>
    <t>plus</t>
  </si>
  <si>
    <t>II st. KS</t>
  </si>
  <si>
    <t>Liczba godzin z planu studiów , tok kształcenia 2023-2025</t>
  </si>
  <si>
    <t>Limit przyjęć = 30 os.</t>
  </si>
  <si>
    <t>1x30</t>
  </si>
  <si>
    <t>3x10</t>
  </si>
  <si>
    <t>Limit przyjęć = 20 os.</t>
  </si>
  <si>
    <t>1x20</t>
  </si>
  <si>
    <t>2x10</t>
  </si>
  <si>
    <t>minus</t>
  </si>
  <si>
    <t>Różnica I vs II st. KS</t>
  </si>
  <si>
    <t>25-40</t>
  </si>
  <si>
    <t>Fakultet interprofesjonalny Podologia w kosmetologii i farmacji</t>
  </si>
  <si>
    <t>Zakład Kosmetologii i Medycyny Estetycznej/Farmacja Stosowana</t>
  </si>
  <si>
    <r>
      <t xml:space="preserve">Zakład Kosmetologii i Medycyny Estetycznej + </t>
    </r>
    <r>
      <rPr>
        <b/>
        <sz val="10"/>
        <color rgb="FFFF0000"/>
        <rFont val="Times New Roman"/>
        <family val="1"/>
        <charset val="238"/>
      </rPr>
      <t>Farmacja Stosowana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</si>
</sst>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3"/>
      <color theme="1"/>
      <name val="Cambria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9"/>
      <color rgb="FF333333"/>
      <name val="Courier New"/>
      <family val="3"/>
      <charset val="238"/>
    </font>
    <font>
      <strike/>
      <sz val="10"/>
      <name val="Times New Roman"/>
      <family val="1"/>
      <charset val="238"/>
    </font>
    <font>
      <sz val="12"/>
      <color rgb="FF21212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name val="Symbol"/>
      <family val="1"/>
      <charset val="2"/>
    </font>
    <font>
      <sz val="10"/>
      <name val="Symbol"/>
      <family val="1"/>
      <charset val="2"/>
    </font>
    <font>
      <sz val="7.5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0"/>
      <color rgb="FF0070C0"/>
      <name val="Times New Roman"/>
      <family val="1"/>
      <charset val="238"/>
    </font>
    <font>
      <b/>
      <sz val="10"/>
      <name val="Calibri"/>
      <family val="2"/>
      <charset val="238"/>
    </font>
    <font>
      <b/>
      <sz val="7.5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rgb="FF333333"/>
      <name val="Tahoma"/>
      <family val="2"/>
      <charset val="238"/>
    </font>
    <font>
      <b/>
      <sz val="10"/>
      <color rgb="FF333333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9C5700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9" fillId="0" borderId="0" applyNumberFormat="0" applyFill="0" applyBorder="0" applyAlignment="0" applyProtection="0"/>
    <xf numFmtId="0" fontId="20" fillId="0" borderId="0"/>
    <xf numFmtId="0" fontId="69" fillId="0" borderId="0"/>
    <xf numFmtId="0" fontId="70" fillId="18" borderId="0" applyNumberFormat="0" applyBorder="0" applyAlignment="0" applyProtection="0"/>
  </cellStyleXfs>
  <cellXfs count="611">
    <xf numFmtId="0" fontId="0" fillId="0" borderId="0" xfId="0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" fontId="5" fillId="0" borderId="0" xfId="0" applyNumberFormat="1" applyFont="1"/>
    <xf numFmtId="1" fontId="6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5" fillId="2" borderId="1" xfId="0" applyFont="1" applyFill="1" applyBorder="1" applyAlignment="1">
      <alignment vertical="center" wrapText="1"/>
    </xf>
    <xf numFmtId="0" fontId="10" fillId="4" borderId="0" xfId="0" applyFont="1" applyFill="1"/>
    <xf numFmtId="0" fontId="11" fillId="4" borderId="0" xfId="0" applyFont="1" applyFill="1"/>
    <xf numFmtId="1" fontId="12" fillId="4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6" fillId="0" borderId="0" xfId="0" applyFont="1"/>
    <xf numFmtId="0" fontId="12" fillId="0" borderId="1" xfId="0" applyFont="1" applyBorder="1" applyAlignment="1">
      <alignment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" fontId="10" fillId="0" borderId="0" xfId="0" applyNumberFormat="1" applyFont="1"/>
    <xf numFmtId="164" fontId="3" fillId="2" borderId="0" xfId="0" applyNumberFormat="1" applyFont="1" applyFill="1" applyAlignment="1">
      <alignment vertical="center" wrapText="1"/>
    </xf>
    <xf numFmtId="164" fontId="10" fillId="0" borderId="0" xfId="0" applyNumberFormat="1" applyFont="1"/>
    <xf numFmtId="164" fontId="11" fillId="0" borderId="0" xfId="0" applyNumberFormat="1" applyFont="1"/>
    <xf numFmtId="1" fontId="3" fillId="2" borderId="0" xfId="0" applyNumberFormat="1" applyFont="1" applyFill="1" applyAlignment="1">
      <alignment vertical="center" wrapText="1"/>
    </xf>
    <xf numFmtId="1" fontId="11" fillId="0" borderId="0" xfId="0" applyNumberFormat="1" applyFont="1"/>
    <xf numFmtId="1" fontId="16" fillId="0" borderId="0" xfId="0" applyNumberFormat="1" applyFont="1"/>
    <xf numFmtId="1" fontId="12" fillId="4" borderId="1" xfId="0" applyNumberFormat="1" applyFont="1" applyFill="1" applyBorder="1" applyAlignment="1">
      <alignment horizontal="center" vertical="center" textRotation="90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textRotation="90"/>
    </xf>
    <xf numFmtId="1" fontId="12" fillId="4" borderId="1" xfId="0" applyNumberFormat="1" applyFont="1" applyFill="1" applyBorder="1" applyAlignment="1">
      <alignment horizontal="center" textRotation="90"/>
    </xf>
    <xf numFmtId="0" fontId="12" fillId="4" borderId="1" xfId="0" applyFont="1" applyFill="1" applyBorder="1" applyAlignment="1">
      <alignment vertical="center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/>
    <xf numFmtId="1" fontId="12" fillId="6" borderId="1" xfId="0" applyNumberFormat="1" applyFont="1" applyFill="1" applyBorder="1" applyAlignment="1">
      <alignment horizontal="center" vertical="center"/>
    </xf>
    <xf numFmtId="1" fontId="12" fillId="6" borderId="1" xfId="0" applyNumberFormat="1" applyFont="1" applyFill="1" applyBorder="1" applyAlignment="1">
      <alignment vertical="center"/>
    </xf>
    <xf numFmtId="164" fontId="12" fillId="6" borderId="1" xfId="0" applyNumberFormat="1" applyFont="1" applyFill="1" applyBorder="1" applyAlignment="1">
      <alignment horizontal="center" vertical="center"/>
    </xf>
    <xf numFmtId="0" fontId="17" fillId="4" borderId="0" xfId="0" applyFont="1" applyFill="1"/>
    <xf numFmtId="0" fontId="17" fillId="0" borderId="0" xfId="0" applyFont="1"/>
    <xf numFmtId="1" fontId="17" fillId="0" borderId="0" xfId="0" applyNumberFormat="1" applyFont="1"/>
    <xf numFmtId="164" fontId="17" fillId="0" borderId="0" xfId="0" applyNumberFormat="1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5"/>
    </xf>
    <xf numFmtId="0" fontId="3" fillId="0" borderId="0" xfId="0" applyFont="1" applyAlignment="1">
      <alignment vertical="center" wrapText="1"/>
    </xf>
    <xf numFmtId="0" fontId="19" fillId="0" borderId="0" xfId="1" applyAlignment="1">
      <alignment vertical="center"/>
    </xf>
    <xf numFmtId="0" fontId="19" fillId="0" borderId="0" xfId="1"/>
    <xf numFmtId="49" fontId="10" fillId="0" borderId="0" xfId="0" applyNumberFormat="1" applyFont="1"/>
    <xf numFmtId="1" fontId="12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1" fontId="14" fillId="0" borderId="0" xfId="0" applyNumberFormat="1" applyFont="1"/>
    <xf numFmtId="164" fontId="12" fillId="5" borderId="1" xfId="0" applyNumberFormat="1" applyFont="1" applyFill="1" applyBorder="1" applyAlignment="1">
      <alignment horizontal="center" vertical="center"/>
    </xf>
    <xf numFmtId="0" fontId="0" fillId="0" borderId="8" xfId="0" applyBorder="1"/>
    <xf numFmtId="0" fontId="10" fillId="0" borderId="0" xfId="0" applyFont="1" applyAlignment="1">
      <alignment wrapText="1"/>
    </xf>
    <xf numFmtId="1" fontId="0" fillId="0" borderId="0" xfId="0" applyNumberFormat="1"/>
    <xf numFmtId="0" fontId="12" fillId="0" borderId="0" xfId="0" applyFont="1"/>
    <xf numFmtId="1" fontId="9" fillId="0" borderId="15" xfId="0" applyNumberFormat="1" applyFont="1" applyBorder="1" applyAlignment="1">
      <alignment vertical="center" wrapText="1"/>
    </xf>
    <xf numFmtId="1" fontId="9" fillId="0" borderId="15" xfId="0" applyNumberFormat="1" applyFont="1" applyBorder="1" applyAlignment="1">
      <alignment horizontal="left" vertical="center" wrapText="1"/>
    </xf>
    <xf numFmtId="1" fontId="4" fillId="0" borderId="15" xfId="0" applyNumberFormat="1" applyFont="1" applyBorder="1" applyAlignment="1">
      <alignment vertical="center" wrapText="1"/>
    </xf>
    <xf numFmtId="0" fontId="17" fillId="0" borderId="9" xfId="0" applyFont="1" applyBorder="1"/>
    <xf numFmtId="1" fontId="8" fillId="0" borderId="0" xfId="0" applyNumberFormat="1" applyFont="1"/>
    <xf numFmtId="0" fontId="22" fillId="0" borderId="0" xfId="0" applyFont="1" applyAlignment="1">
      <alignment horizontal="center" vertical="center"/>
    </xf>
    <xf numFmtId="1" fontId="21" fillId="0" borderId="0" xfId="0" applyNumberFormat="1" applyFont="1" applyAlignment="1">
      <alignment wrapText="1"/>
    </xf>
    <xf numFmtId="1" fontId="23" fillId="0" borderId="0" xfId="0" applyNumberFormat="1" applyFont="1" applyAlignment="1">
      <alignment wrapText="1"/>
    </xf>
    <xf numFmtId="1" fontId="12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5" fillId="2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64" fontId="12" fillId="0" borderId="1" xfId="0" applyNumberFormat="1" applyFont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 wrapText="1"/>
    </xf>
    <xf numFmtId="1" fontId="12" fillId="7" borderId="1" xfId="0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1" fontId="25" fillId="9" borderId="1" xfId="0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 wrapText="1"/>
    </xf>
    <xf numFmtId="164" fontId="25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/>
    </xf>
    <xf numFmtId="0" fontId="11" fillId="0" borderId="1" xfId="0" applyFont="1" applyBorder="1"/>
    <xf numFmtId="1" fontId="11" fillId="0" borderId="1" xfId="0" applyNumberFormat="1" applyFont="1" applyBorder="1"/>
    <xf numFmtId="164" fontId="11" fillId="0" borderId="1" xfId="0" applyNumberFormat="1" applyFont="1" applyBorder="1"/>
    <xf numFmtId="0" fontId="12" fillId="0" borderId="1" xfId="0" applyFont="1" applyBorder="1" applyAlignment="1">
      <alignment vertical="top" wrapText="1"/>
    </xf>
    <xf numFmtId="1" fontId="28" fillId="0" borderId="0" xfId="0" applyNumberFormat="1" applyFont="1"/>
    <xf numFmtId="164" fontId="9" fillId="0" borderId="0" xfId="0" applyNumberFormat="1" applyFont="1"/>
    <xf numFmtId="1" fontId="12" fillId="4" borderId="0" xfId="0" applyNumberFormat="1" applyFont="1" applyFill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12" fillId="4" borderId="0" xfId="0" applyNumberFormat="1" applyFont="1" applyFill="1" applyAlignment="1">
      <alignment horizontal="center" vertical="center"/>
    </xf>
    <xf numFmtId="1" fontId="12" fillId="0" borderId="0" xfId="0" applyNumberFormat="1" applyFont="1"/>
    <xf numFmtId="0" fontId="19" fillId="0" borderId="0" xfId="1" applyFill="1"/>
    <xf numFmtId="0" fontId="19" fillId="0" borderId="0" xfId="1" applyFill="1" applyAlignment="1">
      <alignment vertical="center"/>
    </xf>
    <xf numFmtId="1" fontId="3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left" vertical="center"/>
    </xf>
    <xf numFmtId="0" fontId="10" fillId="0" borderId="1" xfId="0" applyFont="1" applyBorder="1"/>
    <xf numFmtId="164" fontId="9" fillId="0" borderId="1" xfId="0" applyNumberFormat="1" applyFont="1" applyBorder="1"/>
    <xf numFmtId="0" fontId="5" fillId="0" borderId="0" xfId="0" applyFont="1" applyAlignment="1">
      <alignment wrapText="1"/>
    </xf>
    <xf numFmtId="0" fontId="19" fillId="0" borderId="0" xfId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1" fontId="15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1" fontId="15" fillId="0" borderId="0" xfId="0" applyNumberFormat="1" applyFont="1" applyAlignment="1">
      <alignment vertical="center" wrapText="1"/>
    </xf>
    <xf numFmtId="164" fontId="0" fillId="0" borderId="0" xfId="0" applyNumberFormat="1"/>
    <xf numFmtId="1" fontId="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2" fillId="0" borderId="0" xfId="0" applyFont="1"/>
    <xf numFmtId="1" fontId="12" fillId="12" borderId="1" xfId="0" applyNumberFormat="1" applyFont="1" applyFill="1" applyBorder="1" applyAlignment="1">
      <alignment horizontal="center" vertical="center" wrapText="1"/>
    </xf>
    <xf numFmtId="1" fontId="12" fillId="12" borderId="1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" fontId="34" fillId="0" borderId="1" xfId="0" applyNumberFormat="1" applyFont="1" applyBorder="1"/>
    <xf numFmtId="0" fontId="34" fillId="0" borderId="1" xfId="0" applyFont="1" applyBorder="1"/>
    <xf numFmtId="0" fontId="36" fillId="0" borderId="1" xfId="0" applyFont="1" applyBorder="1"/>
    <xf numFmtId="0" fontId="1" fillId="0" borderId="1" xfId="0" applyFont="1" applyBorder="1"/>
    <xf numFmtId="1" fontId="1" fillId="5" borderId="1" xfId="0" applyNumberFormat="1" applyFont="1" applyFill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2" fontId="1" fillId="0" borderId="1" xfId="0" applyNumberFormat="1" applyFont="1" applyBorder="1"/>
    <xf numFmtId="0" fontId="14" fillId="0" borderId="1" xfId="0" applyFont="1" applyBorder="1"/>
    <xf numFmtId="0" fontId="8" fillId="0" borderId="1" xfId="0" applyFont="1" applyBorder="1" applyAlignment="1">
      <alignment horizontal="right"/>
    </xf>
    <xf numFmtId="1" fontId="5" fillId="0" borderId="1" xfId="0" applyNumberFormat="1" applyFont="1" applyBorder="1"/>
    <xf numFmtId="1" fontId="0" fillId="0" borderId="1" xfId="0" applyNumberFormat="1" applyBorder="1"/>
    <xf numFmtId="0" fontId="0" fillId="0" borderId="1" xfId="0" applyBorder="1"/>
    <xf numFmtId="0" fontId="5" fillId="0" borderId="1" xfId="0" applyFont="1" applyBorder="1"/>
    <xf numFmtId="164" fontId="0" fillId="0" borderId="1" xfId="0" applyNumberFormat="1" applyBorder="1"/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vertical="top" textRotation="180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1" fontId="13" fillId="0" borderId="0" xfId="0" applyNumberFormat="1" applyFont="1" applyAlignment="1">
      <alignment vertical="top"/>
    </xf>
    <xf numFmtId="1" fontId="2" fillId="0" borderId="0" xfId="0" applyNumberFormat="1" applyFont="1"/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31" fillId="0" borderId="0" xfId="0" applyFont="1" applyAlignment="1">
      <alignment vertical="center"/>
    </xf>
    <xf numFmtId="1" fontId="11" fillId="0" borderId="0" xfId="0" applyNumberFormat="1" applyFont="1" applyAlignment="1">
      <alignment vertical="top"/>
    </xf>
    <xf numFmtId="1" fontId="29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" fontId="32" fillId="0" borderId="0" xfId="0" applyNumberFormat="1" applyFont="1" applyAlignment="1">
      <alignment vertical="center"/>
    </xf>
    <xf numFmtId="0" fontId="11" fillId="0" borderId="0" xfId="0" applyFont="1" applyAlignment="1">
      <alignment horizontal="center" wrapText="1"/>
    </xf>
    <xf numFmtId="0" fontId="39" fillId="2" borderId="1" xfId="0" applyFont="1" applyFill="1" applyBorder="1" applyAlignment="1">
      <alignment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/>
    </xf>
    <xf numFmtId="0" fontId="39" fillId="1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0" xfId="0" applyFill="1"/>
    <xf numFmtId="2" fontId="11" fillId="0" borderId="0" xfId="0" applyNumberFormat="1" applyFont="1"/>
    <xf numFmtId="1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left" vertical="center" wrapText="1"/>
    </xf>
    <xf numFmtId="1" fontId="12" fillId="0" borderId="1" xfId="0" applyNumberFormat="1" applyFont="1" applyBorder="1"/>
    <xf numFmtId="164" fontId="12" fillId="0" borderId="1" xfId="0" applyNumberFormat="1" applyFont="1" applyBorder="1"/>
    <xf numFmtId="164" fontId="12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right" vertical="center" wrapText="1"/>
    </xf>
    <xf numFmtId="0" fontId="42" fillId="0" borderId="0" xfId="0" applyFont="1"/>
    <xf numFmtId="1" fontId="15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vertical="top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top" wrapText="1"/>
    </xf>
    <xf numFmtId="1" fontId="12" fillId="13" borderId="1" xfId="0" applyNumberFormat="1" applyFont="1" applyFill="1" applyBorder="1" applyAlignment="1">
      <alignment horizontal="center" vertical="center"/>
    </xf>
    <xf numFmtId="164" fontId="9" fillId="12" borderId="1" xfId="0" applyNumberFormat="1" applyFont="1" applyFill="1" applyBorder="1"/>
    <xf numFmtId="0" fontId="0" fillId="10" borderId="0" xfId="0" applyFill="1"/>
    <xf numFmtId="0" fontId="0" fillId="12" borderId="0" xfId="0" applyFill="1"/>
    <xf numFmtId="164" fontId="9" fillId="11" borderId="1" xfId="0" applyNumberFormat="1" applyFont="1" applyFill="1" applyBorder="1"/>
    <xf numFmtId="0" fontId="0" fillId="11" borderId="0" xfId="0" applyFill="1"/>
    <xf numFmtId="1" fontId="9" fillId="0" borderId="13" xfId="0" applyNumberFormat="1" applyFont="1" applyBorder="1" applyAlignment="1">
      <alignment vertical="center" wrapText="1"/>
    </xf>
    <xf numFmtId="164" fontId="9" fillId="11" borderId="13" xfId="0" applyNumberFormat="1" applyFont="1" applyFill="1" applyBorder="1"/>
    <xf numFmtId="1" fontId="9" fillId="0" borderId="16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left" vertical="center" wrapText="1"/>
    </xf>
    <xf numFmtId="1" fontId="9" fillId="0" borderId="16" xfId="0" applyNumberFormat="1" applyFont="1" applyBorder="1" applyAlignment="1">
      <alignment vertical="center" wrapText="1"/>
    </xf>
    <xf numFmtId="164" fontId="9" fillId="11" borderId="16" xfId="0" applyNumberFormat="1" applyFont="1" applyFill="1" applyBorder="1"/>
    <xf numFmtId="1" fontId="9" fillId="0" borderId="9" xfId="0" applyNumberFormat="1" applyFont="1" applyBorder="1" applyAlignment="1">
      <alignment horizontal="center" vertical="center" wrapText="1"/>
    </xf>
    <xf numFmtId="164" fontId="9" fillId="12" borderId="16" xfId="0" applyNumberFormat="1" applyFont="1" applyFill="1" applyBorder="1"/>
    <xf numFmtId="0" fontId="0" fillId="0" borderId="17" xfId="0" applyBorder="1"/>
    <xf numFmtId="0" fontId="0" fillId="0" borderId="10" xfId="0" applyBorder="1"/>
    <xf numFmtId="1" fontId="0" fillId="0" borderId="10" xfId="0" applyNumberFormat="1" applyBorder="1"/>
    <xf numFmtId="1" fontId="0" fillId="0" borderId="5" xfId="0" applyNumberFormat="1" applyBorder="1"/>
    <xf numFmtId="1" fontId="0" fillId="0" borderId="12" xfId="0" applyNumberFormat="1" applyBorder="1"/>
    <xf numFmtId="1" fontId="0" fillId="0" borderId="13" xfId="0" applyNumberFormat="1" applyBorder="1"/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5" xfId="0" applyBorder="1"/>
    <xf numFmtId="0" fontId="0" fillId="0" borderId="12" xfId="0" applyBorder="1"/>
    <xf numFmtId="0" fontId="0" fillId="0" borderId="13" xfId="0" applyBorder="1"/>
    <xf numFmtId="1" fontId="9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vertical="center" wrapText="1"/>
    </xf>
    <xf numFmtId="164" fontId="43" fillId="0" borderId="0" xfId="0" applyNumberFormat="1" applyFont="1"/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vertical="center" wrapText="1"/>
    </xf>
    <xf numFmtId="164" fontId="43" fillId="10" borderId="16" xfId="0" applyNumberFormat="1" applyFont="1" applyFill="1" applyBorder="1"/>
    <xf numFmtId="164" fontId="9" fillId="11" borderId="5" xfId="0" applyNumberFormat="1" applyFont="1" applyFill="1" applyBorder="1" applyAlignment="1">
      <alignment horizontal="left"/>
    </xf>
    <xf numFmtId="0" fontId="40" fillId="0" borderId="0" xfId="0" applyFont="1"/>
    <xf numFmtId="0" fontId="8" fillId="0" borderId="1" xfId="0" applyFont="1" applyBorder="1"/>
    <xf numFmtId="1" fontId="2" fillId="0" borderId="1" xfId="0" applyNumberFormat="1" applyFont="1" applyBorder="1"/>
    <xf numFmtId="0" fontId="2" fillId="0" borderId="1" xfId="0" applyFont="1" applyBorder="1"/>
    <xf numFmtId="1" fontId="12" fillId="0" borderId="0" xfId="0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" fontId="12" fillId="13" borderId="1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textRotation="90" wrapText="1"/>
    </xf>
    <xf numFmtId="1" fontId="3" fillId="1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" fontId="3" fillId="12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14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1" fontId="3" fillId="0" borderId="5" xfId="0" applyNumberFormat="1" applyFont="1" applyBorder="1" applyAlignment="1">
      <alignment horizontal="right" vertical="center" wrapText="1"/>
    </xf>
    <xf numFmtId="1" fontId="3" fillId="0" borderId="5" xfId="0" applyNumberFormat="1" applyFont="1" applyBorder="1" applyAlignment="1">
      <alignment vertical="center" wrapText="1"/>
    </xf>
    <xf numFmtId="0" fontId="0" fillId="8" borderId="0" xfId="0" applyFill="1"/>
    <xf numFmtId="0" fontId="6" fillId="0" borderId="0" xfId="0" applyFont="1" applyAlignment="1">
      <alignment vertical="top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vertical="center" wrapText="1"/>
    </xf>
    <xf numFmtId="1" fontId="12" fillId="4" borderId="1" xfId="0" applyNumberFormat="1" applyFont="1" applyFill="1" applyBorder="1"/>
    <xf numFmtId="164" fontId="12" fillId="4" borderId="1" xfId="0" applyNumberFormat="1" applyFont="1" applyFill="1" applyBorder="1"/>
    <xf numFmtId="164" fontId="3" fillId="4" borderId="1" xfId="0" applyNumberFormat="1" applyFont="1" applyFill="1" applyBorder="1"/>
    <xf numFmtId="0" fontId="2" fillId="4" borderId="0" xfId="0" applyFont="1" applyFill="1"/>
    <xf numFmtId="1" fontId="15" fillId="4" borderId="0" xfId="0" applyNumberFormat="1" applyFont="1" applyFill="1" applyAlignment="1">
      <alignment vertical="center" wrapText="1"/>
    </xf>
    <xf numFmtId="0" fontId="11" fillId="4" borderId="0" xfId="0" applyFont="1" applyFill="1" applyAlignment="1">
      <alignment wrapText="1"/>
    </xf>
    <xf numFmtId="1" fontId="3" fillId="4" borderId="1" xfId="0" applyNumberFormat="1" applyFont="1" applyFill="1" applyBorder="1" applyAlignment="1">
      <alignment horizontal="left" vertical="center" wrapText="1"/>
    </xf>
    <xf numFmtId="1" fontId="3" fillId="4" borderId="1" xfId="0" applyNumberFormat="1" applyFont="1" applyFill="1" applyBorder="1" applyAlignment="1">
      <alignment horizontal="right" vertical="center" wrapText="1"/>
    </xf>
    <xf numFmtId="164" fontId="9" fillId="10" borderId="1" xfId="0" applyNumberFormat="1" applyFont="1" applyFill="1" applyBorder="1"/>
    <xf numFmtId="164" fontId="9" fillId="10" borderId="13" xfId="0" applyNumberFormat="1" applyFont="1" applyFill="1" applyBorder="1"/>
    <xf numFmtId="164" fontId="9" fillId="0" borderId="13" xfId="0" applyNumberFormat="1" applyFont="1" applyBorder="1"/>
    <xf numFmtId="164" fontId="9" fillId="10" borderId="5" xfId="0" applyNumberFormat="1" applyFont="1" applyFill="1" applyBorder="1"/>
    <xf numFmtId="1" fontId="45" fillId="0" borderId="5" xfId="0" applyNumberFormat="1" applyFont="1" applyBorder="1" applyAlignment="1">
      <alignment vertical="center" wrapText="1"/>
    </xf>
    <xf numFmtId="164" fontId="9" fillId="10" borderId="16" xfId="0" applyNumberFormat="1" applyFont="1" applyFill="1" applyBorder="1"/>
    <xf numFmtId="0" fontId="5" fillId="5" borderId="0" xfId="0" applyFont="1" applyFill="1"/>
    <xf numFmtId="0" fontId="5" fillId="6" borderId="0" xfId="0" applyFont="1" applyFill="1"/>
    <xf numFmtId="0" fontId="5" fillId="11" borderId="0" xfId="0" applyFont="1" applyFill="1"/>
    <xf numFmtId="0" fontId="5" fillId="10" borderId="0" xfId="0" applyFont="1" applyFill="1"/>
    <xf numFmtId="164" fontId="12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51" fillId="0" borderId="0" xfId="0" applyFont="1"/>
    <xf numFmtId="0" fontId="52" fillId="0" borderId="0" xfId="0" applyFont="1"/>
    <xf numFmtId="0" fontId="5" fillId="15" borderId="0" xfId="0" applyFont="1" applyFill="1"/>
    <xf numFmtId="0" fontId="5" fillId="8" borderId="0" xfId="0" applyFont="1" applyFill="1"/>
    <xf numFmtId="1" fontId="39" fillId="14" borderId="1" xfId="0" applyNumberFormat="1" applyFont="1" applyFill="1" applyBorder="1" applyAlignment="1">
      <alignment horizontal="center" vertical="center" wrapText="1"/>
    </xf>
    <xf numFmtId="0" fontId="54" fillId="0" borderId="0" xfId="0" applyFont="1"/>
    <xf numFmtId="0" fontId="2" fillId="0" borderId="7" xfId="0" applyFont="1" applyBorder="1"/>
    <xf numFmtId="0" fontId="0" fillId="0" borderId="7" xfId="0" applyBorder="1"/>
    <xf numFmtId="1" fontId="0" fillId="0" borderId="15" xfId="0" applyNumberFormat="1" applyBorder="1"/>
    <xf numFmtId="1" fontId="8" fillId="0" borderId="17" xfId="0" applyNumberFormat="1" applyFont="1" applyBorder="1"/>
    <xf numFmtId="1" fontId="8" fillId="0" borderId="15" xfId="0" applyNumberFormat="1" applyFont="1" applyBorder="1"/>
    <xf numFmtId="1" fontId="0" fillId="0" borderId="17" xfId="0" applyNumberFormat="1" applyBorder="1"/>
    <xf numFmtId="1" fontId="8" fillId="0" borderId="9" xfId="0" applyNumberFormat="1" applyFont="1" applyBorder="1"/>
    <xf numFmtId="1" fontId="0" fillId="0" borderId="2" xfId="0" applyNumberFormat="1" applyBorder="1"/>
    <xf numFmtId="0" fontId="6" fillId="0" borderId="15" xfId="0" applyFont="1" applyBorder="1"/>
    <xf numFmtId="0" fontId="5" fillId="0" borderId="15" xfId="0" applyFont="1" applyBorder="1"/>
    <xf numFmtId="0" fontId="8" fillId="0" borderId="17" xfId="0" applyFont="1" applyBorder="1"/>
    <xf numFmtId="0" fontId="6" fillId="0" borderId="9" xfId="0" applyFont="1" applyBorder="1"/>
    <xf numFmtId="0" fontId="0" fillId="0" borderId="2" xfId="0" applyBorder="1"/>
    <xf numFmtId="0" fontId="2" fillId="0" borderId="2" xfId="0" applyFont="1" applyBorder="1"/>
    <xf numFmtId="1" fontId="53" fillId="0" borderId="10" xfId="0" applyNumberFormat="1" applyFont="1" applyBorder="1"/>
    <xf numFmtId="0" fontId="54" fillId="0" borderId="11" xfId="0" applyFont="1" applyBorder="1"/>
    <xf numFmtId="0" fontId="55" fillId="0" borderId="11" xfId="0" applyFont="1" applyBorder="1"/>
    <xf numFmtId="1" fontId="55" fillId="0" borderId="4" xfId="0" applyNumberFormat="1" applyFont="1" applyBorder="1"/>
    <xf numFmtId="1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3" fillId="0" borderId="3" xfId="0" applyFont="1" applyBorder="1"/>
    <xf numFmtId="1" fontId="6" fillId="0" borderId="9" xfId="0" applyNumberFormat="1" applyFont="1" applyBorder="1"/>
    <xf numFmtId="1" fontId="5" fillId="0" borderId="2" xfId="0" applyNumberFormat="1" applyFont="1" applyBorder="1"/>
    <xf numFmtId="1" fontId="8" fillId="0" borderId="10" xfId="0" applyNumberFormat="1" applyFont="1" applyBorder="1"/>
    <xf numFmtId="0" fontId="8" fillId="0" borderId="8" xfId="0" applyFont="1" applyBorder="1"/>
    <xf numFmtId="0" fontId="56" fillId="0" borderId="6" xfId="0" applyFont="1" applyBorder="1"/>
    <xf numFmtId="0" fontId="55" fillId="0" borderId="3" xfId="0" applyFont="1" applyBorder="1"/>
    <xf numFmtId="1" fontId="13" fillId="0" borderId="0" xfId="0" applyNumberFormat="1" applyFont="1"/>
    <xf numFmtId="1" fontId="54" fillId="0" borderId="0" xfId="0" applyNumberFormat="1" applyFont="1"/>
    <xf numFmtId="2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58" fillId="0" borderId="0" xfId="0" applyFont="1"/>
    <xf numFmtId="1" fontId="3" fillId="10" borderId="1" xfId="0" applyNumberFormat="1" applyFont="1" applyFill="1" applyBorder="1" applyAlignment="1">
      <alignment vertical="center" wrapText="1"/>
    </xf>
    <xf numFmtId="1" fontId="12" fillId="10" borderId="1" xfId="0" applyNumberFormat="1" applyFont="1" applyFill="1" applyBorder="1"/>
    <xf numFmtId="164" fontId="12" fillId="10" borderId="1" xfId="0" applyNumberFormat="1" applyFont="1" applyFill="1" applyBorder="1"/>
    <xf numFmtId="164" fontId="3" fillId="10" borderId="1" xfId="0" applyNumberFormat="1" applyFont="1" applyFill="1" applyBorder="1"/>
    <xf numFmtId="0" fontId="11" fillId="0" borderId="0" xfId="0" applyFont="1" applyAlignment="1">
      <alignment horizontal="right"/>
    </xf>
    <xf numFmtId="0" fontId="38" fillId="0" borderId="0" xfId="0" applyFont="1"/>
    <xf numFmtId="1" fontId="3" fillId="5" borderId="1" xfId="0" applyNumberFormat="1" applyFont="1" applyFill="1" applyBorder="1" applyAlignment="1">
      <alignment vertical="center" wrapText="1"/>
    </xf>
    <xf numFmtId="1" fontId="3" fillId="5" borderId="1" xfId="0" applyNumberFormat="1" applyFont="1" applyFill="1" applyBorder="1" applyAlignment="1">
      <alignment horizontal="right" vertical="center" wrapText="1"/>
    </xf>
    <xf numFmtId="0" fontId="59" fillId="0" borderId="0" xfId="0" applyFont="1"/>
    <xf numFmtId="1" fontId="3" fillId="10" borderId="1" xfId="0" applyNumberFormat="1" applyFont="1" applyFill="1" applyBorder="1" applyAlignment="1">
      <alignment horizontal="left" vertical="center" wrapText="1"/>
    </xf>
    <xf numFmtId="1" fontId="3" fillId="10" borderId="1" xfId="0" applyNumberFormat="1" applyFont="1" applyFill="1" applyBorder="1" applyAlignment="1">
      <alignment horizontal="right" vertical="center" wrapText="1"/>
    </xf>
    <xf numFmtId="1" fontId="60" fillId="1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1" fontId="12" fillId="5" borderId="1" xfId="0" applyNumberFormat="1" applyFont="1" applyFill="1" applyBorder="1"/>
    <xf numFmtId="164" fontId="3" fillId="5" borderId="1" xfId="0" applyNumberFormat="1" applyFont="1" applyFill="1" applyBorder="1"/>
    <xf numFmtId="164" fontId="3" fillId="5" borderId="1" xfId="0" applyNumberFormat="1" applyFont="1" applyFill="1" applyBorder="1" applyAlignment="1">
      <alignment wrapText="1"/>
    </xf>
    <xf numFmtId="164" fontId="12" fillId="5" borderId="1" xfId="0" applyNumberFormat="1" applyFont="1" applyFill="1" applyBorder="1"/>
    <xf numFmtId="1" fontId="63" fillId="0" borderId="0" xfId="0" applyNumberFormat="1" applyFont="1"/>
    <xf numFmtId="0" fontId="65" fillId="0" borderId="0" xfId="0" applyFont="1" applyAlignment="1">
      <alignment wrapText="1"/>
    </xf>
    <xf numFmtId="0" fontId="64" fillId="0" borderId="0" xfId="0" applyFont="1" applyAlignment="1">
      <alignment vertical="center" wrapText="1"/>
    </xf>
    <xf numFmtId="0" fontId="19" fillId="0" borderId="0" xfId="1" applyAlignment="1">
      <alignment horizontal="left" vertical="center" indent="1"/>
    </xf>
    <xf numFmtId="0" fontId="7" fillId="0" borderId="0" xfId="0" applyFont="1"/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49" fontId="51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1" fontId="10" fillId="4" borderId="1" xfId="0" applyNumberFormat="1" applyFont="1" applyFill="1" applyBorder="1" applyAlignment="1">
      <alignment vertical="center" wrapText="1"/>
    </xf>
    <xf numFmtId="1" fontId="10" fillId="4" borderId="1" xfId="0" applyNumberFormat="1" applyFont="1" applyFill="1" applyBorder="1" applyAlignment="1">
      <alignment horizontal="left" vertical="center" wrapText="1"/>
    </xf>
    <xf numFmtId="1" fontId="10" fillId="0" borderId="5" xfId="0" applyNumberFormat="1" applyFont="1" applyBorder="1" applyAlignment="1">
      <alignment horizontal="left" vertical="top" wrapText="1"/>
    </xf>
    <xf numFmtId="0" fontId="25" fillId="0" borderId="1" xfId="0" applyFont="1" applyBorder="1"/>
    <xf numFmtId="1" fontId="5" fillId="5" borderId="0" xfId="0" applyNumberFormat="1" applyFont="1" applyFill="1"/>
    <xf numFmtId="1" fontId="5" fillId="6" borderId="0" xfId="0" applyNumberFormat="1" applyFont="1" applyFill="1"/>
    <xf numFmtId="1" fontId="5" fillId="10" borderId="0" xfId="0" applyNumberFormat="1" applyFont="1" applyFill="1"/>
    <xf numFmtId="1" fontId="5" fillId="12" borderId="0" xfId="0" applyNumberFormat="1" applyFont="1" applyFill="1"/>
    <xf numFmtId="1" fontId="10" fillId="16" borderId="0" xfId="0" applyNumberFormat="1" applyFont="1" applyFill="1"/>
    <xf numFmtId="1" fontId="5" fillId="16" borderId="0" xfId="0" applyNumberFormat="1" applyFont="1" applyFill="1"/>
    <xf numFmtId="1" fontId="5" fillId="0" borderId="0" xfId="0" applyNumberFormat="1" applyFont="1" applyAlignment="1">
      <alignment horizontal="center"/>
    </xf>
    <xf numFmtId="1" fontId="67" fillId="0" borderId="0" xfId="0" applyNumberFormat="1" applyFont="1"/>
    <xf numFmtId="1" fontId="68" fillId="0" borderId="0" xfId="0" applyNumberFormat="1" applyFont="1"/>
    <xf numFmtId="2" fontId="8" fillId="0" borderId="0" xfId="0" applyNumberFormat="1" applyFont="1" applyAlignment="1">
      <alignment horizontal="center"/>
    </xf>
    <xf numFmtId="0" fontId="67" fillId="0" borderId="0" xfId="3" applyFont="1" applyAlignment="1">
      <alignment horizontal="center"/>
    </xf>
    <xf numFmtId="0" fontId="67" fillId="0" borderId="0" xfId="3" applyFont="1"/>
    <xf numFmtId="2" fontId="68" fillId="0" borderId="0" xfId="3" applyNumberFormat="1" applyFont="1" applyAlignment="1">
      <alignment horizontal="center"/>
    </xf>
    <xf numFmtId="2" fontId="0" fillId="0" borderId="0" xfId="0" applyNumberFormat="1"/>
    <xf numFmtId="2" fontId="12" fillId="0" borderId="0" xfId="3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6" fillId="0" borderId="0" xfId="3" applyNumberFormat="1" applyFont="1" applyAlignment="1">
      <alignment horizontal="center"/>
    </xf>
    <xf numFmtId="0" fontId="67" fillId="0" borderId="0" xfId="0" applyFont="1"/>
    <xf numFmtId="0" fontId="6" fillId="0" borderId="0" xfId="3" applyFont="1"/>
    <xf numFmtId="2" fontId="6" fillId="0" borderId="0" xfId="3" applyNumberFormat="1" applyFont="1"/>
    <xf numFmtId="0" fontId="8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66" fillId="0" borderId="1" xfId="0" applyFont="1" applyBorder="1"/>
    <xf numFmtId="0" fontId="51" fillId="10" borderId="0" xfId="0" applyFont="1" applyFill="1"/>
    <xf numFmtId="0" fontId="5" fillId="17" borderId="0" xfId="0" applyFont="1" applyFill="1"/>
    <xf numFmtId="0" fontId="34" fillId="0" borderId="0" xfId="0" applyFont="1"/>
    <xf numFmtId="0" fontId="0" fillId="0" borderId="1" xfId="0" applyBorder="1" applyAlignment="1">
      <alignment vertical="center"/>
    </xf>
    <xf numFmtId="0" fontId="52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6" borderId="1" xfId="0" applyFont="1" applyFill="1" applyBorder="1" applyAlignment="1">
      <alignment horizontal="left" shrinkToFit="1"/>
    </xf>
    <xf numFmtId="0" fontId="11" fillId="5" borderId="1" xfId="0" applyFont="1" applyFill="1" applyBorder="1" applyAlignment="1">
      <alignment horizontal="left" shrinkToFit="1"/>
    </xf>
    <xf numFmtId="0" fontId="0" fillId="5" borderId="1" xfId="0" applyFill="1" applyBorder="1" applyAlignment="1">
      <alignment horizontal="left" shrinkToFit="1"/>
    </xf>
    <xf numFmtId="0" fontId="11" fillId="10" borderId="1" xfId="0" applyFont="1" applyFill="1" applyBorder="1" applyAlignment="1">
      <alignment horizontal="left" shrinkToFit="1"/>
    </xf>
    <xf numFmtId="0" fontId="2" fillId="10" borderId="1" xfId="0" applyFont="1" applyFill="1" applyBorder="1" applyAlignment="1">
      <alignment horizontal="left" shrinkToFit="1"/>
    </xf>
    <xf numFmtId="0" fontId="11" fillId="17" borderId="1" xfId="0" applyFont="1" applyFill="1" applyBorder="1" applyAlignment="1">
      <alignment horizontal="left" shrinkToFit="1"/>
    </xf>
    <xf numFmtId="0" fontId="50" fillId="0" borderId="1" xfId="0" applyFont="1" applyBorder="1" applyAlignment="1">
      <alignment horizontal="center" shrinkToFit="1"/>
    </xf>
    <xf numFmtId="2" fontId="35" fillId="0" borderId="1" xfId="0" applyNumberFormat="1" applyFont="1" applyBorder="1"/>
    <xf numFmtId="1" fontId="34" fillId="0" borderId="1" xfId="0" applyNumberFormat="1" applyFont="1" applyBorder="1" applyAlignment="1">
      <alignment horizontal="left" wrapText="1"/>
    </xf>
    <xf numFmtId="164" fontId="0" fillId="0" borderId="0" xfId="0" applyNumberFormat="1" applyAlignment="1">
      <alignment horizontal="center"/>
    </xf>
    <xf numFmtId="1" fontId="1" fillId="12" borderId="1" xfId="0" applyNumberFormat="1" applyFont="1" applyFill="1" applyBorder="1"/>
    <xf numFmtId="1" fontId="37" fillId="0" borderId="1" xfId="0" applyNumberFormat="1" applyFont="1" applyBorder="1"/>
    <xf numFmtId="1" fontId="38" fillId="0" borderId="1" xfId="0" applyNumberFormat="1" applyFont="1" applyBorder="1"/>
    <xf numFmtId="1" fontId="3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4" fontId="53" fillId="0" borderId="0" xfId="0" applyNumberFormat="1" applyFont="1" applyAlignment="1">
      <alignment horizontal="center"/>
    </xf>
    <xf numFmtId="1" fontId="51" fillId="0" borderId="1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70" fillId="18" borderId="1" xfId="4" applyNumberFormat="1" applyBorder="1" applyAlignment="1">
      <alignment wrapText="1"/>
    </xf>
    <xf numFmtId="164" fontId="71" fillId="18" borderId="1" xfId="4" applyNumberFormat="1" applyFont="1" applyBorder="1" applyAlignment="1">
      <alignment wrapText="1"/>
    </xf>
    <xf numFmtId="164" fontId="71" fillId="18" borderId="1" xfId="4" applyNumberFormat="1" applyFont="1" applyBorder="1" applyAlignment="1">
      <alignment horizontal="center" vertical="center" wrapText="1"/>
    </xf>
    <xf numFmtId="1" fontId="3" fillId="19" borderId="1" xfId="0" applyNumberFormat="1" applyFont="1" applyFill="1" applyBorder="1" applyAlignment="1">
      <alignment horizontal="center" vertical="center" wrapText="1"/>
    </xf>
    <xf numFmtId="1" fontId="3" fillId="19" borderId="1" xfId="0" applyNumberFormat="1" applyFont="1" applyFill="1" applyBorder="1" applyAlignment="1">
      <alignment horizontal="center" vertical="center" textRotation="90" wrapText="1"/>
    </xf>
    <xf numFmtId="1" fontId="3" fillId="19" borderId="1" xfId="0" applyNumberFormat="1" applyFont="1" applyFill="1" applyBorder="1" applyAlignment="1">
      <alignment vertical="center" wrapText="1"/>
    </xf>
    <xf numFmtId="164" fontId="12" fillId="19" borderId="1" xfId="0" applyNumberFormat="1" applyFont="1" applyFill="1" applyBorder="1" applyAlignment="1">
      <alignment horizontal="left" vertical="center"/>
    </xf>
    <xf numFmtId="164" fontId="3" fillId="19" borderId="1" xfId="0" applyNumberFormat="1" applyFont="1" applyFill="1" applyBorder="1" applyAlignment="1">
      <alignment vertical="center" wrapText="1"/>
    </xf>
    <xf numFmtId="1" fontId="3" fillId="19" borderId="1" xfId="0" applyNumberFormat="1" applyFont="1" applyFill="1" applyBorder="1" applyAlignment="1">
      <alignment horizontal="right" vertical="center" wrapText="1"/>
    </xf>
    <xf numFmtId="164" fontId="3" fillId="19" borderId="1" xfId="0" applyNumberFormat="1" applyFont="1" applyFill="1" applyBorder="1" applyAlignment="1">
      <alignment horizontal="right" vertical="center" wrapText="1"/>
    </xf>
    <xf numFmtId="0" fontId="10" fillId="19" borderId="0" xfId="0" applyFont="1" applyFill="1"/>
    <xf numFmtId="0" fontId="15" fillId="19" borderId="0" xfId="0" applyFont="1" applyFill="1" applyAlignment="1">
      <alignment vertical="center" wrapText="1"/>
    </xf>
    <xf numFmtId="1" fontId="57" fillId="19" borderId="0" xfId="0" applyNumberFormat="1" applyFont="1" applyFill="1" applyAlignment="1">
      <alignment vertical="center" wrapText="1"/>
    </xf>
    <xf numFmtId="1" fontId="15" fillId="19" borderId="0" xfId="0" applyNumberFormat="1" applyFont="1" applyFill="1" applyAlignment="1">
      <alignment vertical="center" wrapText="1"/>
    </xf>
    <xf numFmtId="0" fontId="3" fillId="19" borderId="0" xfId="0" applyFont="1" applyFill="1" applyAlignment="1">
      <alignment vertical="center" wrapText="1"/>
    </xf>
    <xf numFmtId="0" fontId="12" fillId="19" borderId="1" xfId="0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center" textRotation="90"/>
    </xf>
    <xf numFmtId="1" fontId="12" fillId="19" borderId="1" xfId="0" applyNumberFormat="1" applyFont="1" applyFill="1" applyBorder="1" applyAlignment="1">
      <alignment horizontal="center" vertical="center" wrapText="1"/>
    </xf>
    <xf numFmtId="1" fontId="12" fillId="19" borderId="1" xfId="0" applyNumberFormat="1" applyFont="1" applyFill="1" applyBorder="1" applyAlignment="1">
      <alignment horizontal="center" vertical="center"/>
    </xf>
    <xf numFmtId="0" fontId="11" fillId="19" borderId="1" xfId="0" applyFont="1" applyFill="1" applyBorder="1"/>
    <xf numFmtId="0" fontId="11" fillId="19" borderId="0" xfId="0" applyFont="1" applyFill="1"/>
    <xf numFmtId="0" fontId="17" fillId="19" borderId="0" xfId="0" applyFont="1" applyFill="1"/>
    <xf numFmtId="1" fontId="3" fillId="20" borderId="1" xfId="0" applyNumberFormat="1" applyFont="1" applyFill="1" applyBorder="1" applyAlignment="1">
      <alignment horizontal="center" vertical="center" wrapText="1"/>
    </xf>
    <xf numFmtId="1" fontId="3" fillId="20" borderId="1" xfId="0" applyNumberFormat="1" applyFont="1" applyFill="1" applyBorder="1" applyAlignment="1">
      <alignment horizontal="center" vertical="center" textRotation="90" wrapText="1"/>
    </xf>
    <xf numFmtId="1" fontId="3" fillId="20" borderId="1" xfId="0" applyNumberFormat="1" applyFont="1" applyFill="1" applyBorder="1" applyAlignment="1">
      <alignment vertical="center" wrapText="1"/>
    </xf>
    <xf numFmtId="164" fontId="12" fillId="20" borderId="1" xfId="0" applyNumberFormat="1" applyFont="1" applyFill="1" applyBorder="1" applyAlignment="1">
      <alignment horizontal="left" vertical="center"/>
    </xf>
    <xf numFmtId="164" fontId="3" fillId="20" borderId="1" xfId="0" applyNumberFormat="1" applyFont="1" applyFill="1" applyBorder="1" applyAlignment="1">
      <alignment vertical="center" wrapText="1"/>
    </xf>
    <xf numFmtId="1" fontId="3" fillId="20" borderId="1" xfId="0" applyNumberFormat="1" applyFont="1" applyFill="1" applyBorder="1" applyAlignment="1">
      <alignment horizontal="right" vertical="center" wrapText="1"/>
    </xf>
    <xf numFmtId="164" fontId="3" fillId="20" borderId="1" xfId="0" applyNumberFormat="1" applyFont="1" applyFill="1" applyBorder="1" applyAlignment="1">
      <alignment horizontal="right" vertical="center" wrapText="1"/>
    </xf>
    <xf numFmtId="0" fontId="10" fillId="20" borderId="0" xfId="0" applyFont="1" applyFill="1"/>
    <xf numFmtId="1" fontId="3" fillId="20" borderId="5" xfId="0" applyNumberFormat="1" applyFont="1" applyFill="1" applyBorder="1" applyAlignment="1">
      <alignment vertical="center" wrapText="1"/>
    </xf>
    <xf numFmtId="1" fontId="3" fillId="20" borderId="5" xfId="0" applyNumberFormat="1" applyFont="1" applyFill="1" applyBorder="1" applyAlignment="1">
      <alignment horizontal="right" vertical="center" wrapText="1"/>
    </xf>
    <xf numFmtId="0" fontId="15" fillId="20" borderId="0" xfId="0" applyFont="1" applyFill="1" applyAlignment="1">
      <alignment vertical="center" wrapText="1"/>
    </xf>
    <xf numFmtId="0" fontId="3" fillId="20" borderId="0" xfId="0" applyFont="1" applyFill="1" applyAlignment="1">
      <alignment vertical="center" wrapText="1"/>
    </xf>
    <xf numFmtId="0" fontId="11" fillId="20" borderId="0" xfId="0" applyFont="1" applyFill="1"/>
    <xf numFmtId="0" fontId="12" fillId="20" borderId="1" xfId="0" applyFont="1" applyFill="1" applyBorder="1" applyAlignment="1">
      <alignment horizontal="center" textRotation="90"/>
    </xf>
    <xf numFmtId="1" fontId="10" fillId="20" borderId="1" xfId="0" applyNumberFormat="1" applyFont="1" applyFill="1" applyBorder="1" applyAlignment="1">
      <alignment horizontal="center" wrapText="1"/>
    </xf>
    <xf numFmtId="1" fontId="12" fillId="20" borderId="1" xfId="0" applyNumberFormat="1" applyFont="1" applyFill="1" applyBorder="1" applyAlignment="1">
      <alignment horizontal="center" vertical="center" wrapText="1"/>
    </xf>
    <xf numFmtId="1" fontId="10" fillId="20" borderId="1" xfId="0" applyNumberFormat="1" applyFont="1" applyFill="1" applyBorder="1" applyAlignment="1">
      <alignment horizontal="center" vertical="center"/>
    </xf>
    <xf numFmtId="1" fontId="10" fillId="20" borderId="1" xfId="0" applyNumberFormat="1" applyFont="1" applyFill="1" applyBorder="1" applyAlignment="1">
      <alignment horizontal="center" vertical="center" wrapText="1"/>
    </xf>
    <xf numFmtId="164" fontId="10" fillId="20" borderId="1" xfId="0" applyNumberFormat="1" applyFont="1" applyFill="1" applyBorder="1" applyAlignment="1">
      <alignment horizontal="center" vertical="center" wrapText="1"/>
    </xf>
    <xf numFmtId="1" fontId="10" fillId="20" borderId="0" xfId="0" applyNumberFormat="1" applyFont="1" applyFill="1"/>
    <xf numFmtId="1" fontId="12" fillId="20" borderId="0" xfId="0" applyNumberFormat="1" applyFont="1" applyFill="1"/>
    <xf numFmtId="1" fontId="10" fillId="20" borderId="1" xfId="0" applyNumberFormat="1" applyFont="1" applyFill="1" applyBorder="1" applyAlignment="1">
      <alignment vertical="center"/>
    </xf>
    <xf numFmtId="1" fontId="12" fillId="20" borderId="1" xfId="0" applyNumberFormat="1" applyFont="1" applyFill="1" applyBorder="1" applyAlignment="1">
      <alignment horizontal="center" vertical="center"/>
    </xf>
    <xf numFmtId="1" fontId="35" fillId="20" borderId="0" xfId="0" applyNumberFormat="1" applyFont="1" applyFill="1"/>
    <xf numFmtId="0" fontId="2" fillId="20" borderId="0" xfId="0" applyFont="1" applyFill="1"/>
    <xf numFmtId="1" fontId="10" fillId="20" borderId="1" xfId="0" applyNumberFormat="1" applyFont="1" applyFill="1" applyBorder="1"/>
    <xf numFmtId="0" fontId="11" fillId="20" borderId="1" xfId="0" applyFont="1" applyFill="1" applyBorder="1"/>
    <xf numFmtId="1" fontId="3" fillId="21" borderId="1" xfId="0" applyNumberFormat="1" applyFont="1" applyFill="1" applyBorder="1" applyAlignment="1">
      <alignment horizontal="center" vertical="center" wrapText="1"/>
    </xf>
    <xf numFmtId="1" fontId="3" fillId="21" borderId="1" xfId="0" applyNumberFormat="1" applyFont="1" applyFill="1" applyBorder="1" applyAlignment="1">
      <alignment horizontal="center" vertical="center" textRotation="90" wrapText="1"/>
    </xf>
    <xf numFmtId="1" fontId="3" fillId="21" borderId="1" xfId="0" applyNumberFormat="1" applyFont="1" applyFill="1" applyBorder="1" applyAlignment="1">
      <alignment vertical="center" wrapText="1"/>
    </xf>
    <xf numFmtId="164" fontId="12" fillId="21" borderId="1" xfId="0" applyNumberFormat="1" applyFont="1" applyFill="1" applyBorder="1" applyAlignment="1">
      <alignment horizontal="left" vertical="center"/>
    </xf>
    <xf numFmtId="164" fontId="3" fillId="21" borderId="1" xfId="0" applyNumberFormat="1" applyFont="1" applyFill="1" applyBorder="1" applyAlignment="1">
      <alignment vertical="center" wrapText="1"/>
    </xf>
    <xf numFmtId="1" fontId="3" fillId="21" borderId="1" xfId="0" applyNumberFormat="1" applyFont="1" applyFill="1" applyBorder="1" applyAlignment="1">
      <alignment horizontal="right" vertical="center" wrapText="1"/>
    </xf>
    <xf numFmtId="164" fontId="3" fillId="21" borderId="1" xfId="0" applyNumberFormat="1" applyFont="1" applyFill="1" applyBorder="1" applyAlignment="1">
      <alignment horizontal="right" vertical="center" wrapText="1"/>
    </xf>
    <xf numFmtId="1" fontId="3" fillId="21" borderId="1" xfId="0" applyNumberFormat="1" applyFont="1" applyFill="1" applyBorder="1" applyAlignment="1">
      <alignment horizontal="center"/>
    </xf>
    <xf numFmtId="1" fontId="3" fillId="21" borderId="1" xfId="0" applyNumberFormat="1" applyFont="1" applyFill="1" applyBorder="1" applyAlignment="1">
      <alignment horizontal="center" vertical="center"/>
    </xf>
    <xf numFmtId="0" fontId="10" fillId="21" borderId="0" xfId="0" applyFont="1" applyFill="1"/>
    <xf numFmtId="1" fontId="3" fillId="21" borderId="5" xfId="0" applyNumberFormat="1" applyFont="1" applyFill="1" applyBorder="1" applyAlignment="1">
      <alignment horizontal="center" vertical="center" wrapText="1"/>
    </xf>
    <xf numFmtId="0" fontId="15" fillId="21" borderId="0" xfId="0" applyFont="1" applyFill="1" applyAlignment="1">
      <alignment vertical="center" wrapText="1"/>
    </xf>
    <xf numFmtId="0" fontId="3" fillId="21" borderId="0" xfId="0" applyFont="1" applyFill="1" applyAlignment="1">
      <alignment vertical="center" wrapText="1"/>
    </xf>
    <xf numFmtId="0" fontId="11" fillId="21" borderId="0" xfId="0" applyFont="1" applyFill="1"/>
    <xf numFmtId="0" fontId="18" fillId="21" borderId="0" xfId="0" applyFont="1" applyFill="1" applyAlignment="1">
      <alignment vertical="center"/>
    </xf>
    <xf numFmtId="0" fontId="6" fillId="21" borderId="0" xfId="0" applyFont="1" applyFill="1" applyAlignment="1">
      <alignment vertical="center"/>
    </xf>
    <xf numFmtId="0" fontId="4" fillId="21" borderId="0" xfId="0" applyFont="1" applyFill="1" applyAlignment="1">
      <alignment horizontal="left" vertical="center" indent="5"/>
    </xf>
    <xf numFmtId="49" fontId="10" fillId="21" borderId="0" xfId="0" applyNumberFormat="1" applyFont="1" applyFill="1"/>
    <xf numFmtId="1" fontId="10" fillId="21" borderId="0" xfId="0" applyNumberFormat="1" applyFont="1" applyFill="1"/>
    <xf numFmtId="1" fontId="14" fillId="21" borderId="0" xfId="0" applyNumberFormat="1" applyFont="1" applyFill="1"/>
    <xf numFmtId="0" fontId="12" fillId="21" borderId="0" xfId="0" applyFont="1" applyFill="1"/>
    <xf numFmtId="0" fontId="6" fillId="21" borderId="0" xfId="0" applyFont="1" applyFill="1" applyAlignment="1">
      <alignment horizontal="center" wrapText="1"/>
    </xf>
    <xf numFmtId="0" fontId="8" fillId="21" borderId="0" xfId="0" applyFont="1" applyFill="1" applyAlignment="1">
      <alignment horizontal="center" vertical="center" wrapText="1"/>
    </xf>
    <xf numFmtId="0" fontId="7" fillId="21" borderId="0" xfId="0" applyFont="1" applyFill="1" applyAlignment="1">
      <alignment vertical="center"/>
    </xf>
    <xf numFmtId="1" fontId="15" fillId="0" borderId="0" xfId="0" applyNumberFormat="1" applyFont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vertical="center" wrapText="1"/>
    </xf>
    <xf numFmtId="1" fontId="3" fillId="0" borderId="11" xfId="0" applyNumberFormat="1" applyFont="1" applyBorder="1" applyAlignment="1">
      <alignment vertical="center" wrapText="1"/>
    </xf>
    <xf numFmtId="1" fontId="3" fillId="0" borderId="4" xfId="0" applyNumberFormat="1" applyFont="1" applyBorder="1" applyAlignment="1">
      <alignment vertical="center" wrapText="1"/>
    </xf>
    <xf numFmtId="1" fontId="3" fillId="0" borderId="6" xfId="0" applyNumberFormat="1" applyFont="1" applyBorder="1" applyAlignment="1">
      <alignment vertical="center" wrapText="1"/>
    </xf>
    <xf numFmtId="1" fontId="3" fillId="0" borderId="7" xfId="0" applyNumberFormat="1" applyFont="1" applyBorder="1" applyAlignment="1">
      <alignment vertical="center" wrapText="1"/>
    </xf>
    <xf numFmtId="1" fontId="3" fillId="0" borderId="8" xfId="0" applyNumberFormat="1" applyFont="1" applyBorder="1" applyAlignment="1">
      <alignment vertical="center" wrapText="1"/>
    </xf>
    <xf numFmtId="1" fontId="3" fillId="0" borderId="9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1" fontId="3" fillId="0" borderId="10" xfId="0" applyNumberFormat="1" applyFont="1" applyBorder="1" applyAlignment="1">
      <alignment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textRotation="90" wrapText="1"/>
    </xf>
    <xf numFmtId="1" fontId="3" fillId="0" borderId="12" xfId="0" applyNumberFormat="1" applyFont="1" applyBorder="1" applyAlignment="1">
      <alignment horizontal="center" vertical="center" textRotation="90" wrapText="1"/>
    </xf>
    <xf numFmtId="1" fontId="3" fillId="0" borderId="13" xfId="0" applyNumberFormat="1" applyFont="1" applyBorder="1" applyAlignment="1">
      <alignment horizontal="center" vertical="center" textRotation="90" wrapText="1"/>
    </xf>
    <xf numFmtId="164" fontId="3" fillId="0" borderId="5" xfId="0" applyNumberFormat="1" applyFont="1" applyBorder="1" applyAlignment="1">
      <alignment horizontal="center" vertical="center" textRotation="90" wrapText="1"/>
    </xf>
    <xf numFmtId="164" fontId="3" fillId="0" borderId="12" xfId="0" applyNumberFormat="1" applyFont="1" applyBorder="1" applyAlignment="1">
      <alignment horizontal="center" vertical="center" textRotation="90" wrapText="1"/>
    </xf>
    <xf numFmtId="164" fontId="3" fillId="0" borderId="13" xfId="0" applyNumberFormat="1" applyFont="1" applyBorder="1" applyAlignment="1">
      <alignment horizontal="center" vertical="center" textRotation="90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" fontId="3" fillId="0" borderId="6" xfId="0" applyNumberFormat="1" applyFont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" fontId="3" fillId="0" borderId="8" xfId="0" applyNumberFormat="1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" fontId="3" fillId="10" borderId="3" xfId="0" applyNumberFormat="1" applyFont="1" applyFill="1" applyBorder="1" applyAlignment="1">
      <alignment horizontal="center" vertical="center" wrapText="1"/>
    </xf>
    <xf numFmtId="1" fontId="3" fillId="10" borderId="4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right" vertical="center" wrapText="1"/>
    </xf>
    <xf numFmtId="1" fontId="3" fillId="0" borderId="13" xfId="0" applyNumberFormat="1" applyFont="1" applyBorder="1" applyAlignment="1">
      <alignment horizontal="right" vertical="center" wrapText="1"/>
    </xf>
    <xf numFmtId="1" fontId="12" fillId="0" borderId="5" xfId="0" applyNumberFormat="1" applyFont="1" applyBorder="1" applyAlignment="1">
      <alignment horizontal="center"/>
    </xf>
    <xf numFmtId="1" fontId="12" fillId="0" borderId="13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164" fontId="12" fillId="21" borderId="5" xfId="0" applyNumberFormat="1" applyFont="1" applyFill="1" applyBorder="1" applyAlignment="1">
      <alignment horizontal="center" vertical="center"/>
    </xf>
    <xf numFmtId="164" fontId="12" fillId="21" borderId="13" xfId="0" applyNumberFormat="1" applyFont="1" applyFill="1" applyBorder="1" applyAlignment="1">
      <alignment horizontal="center" vertical="center"/>
    </xf>
    <xf numFmtId="1" fontId="3" fillId="10" borderId="6" xfId="0" applyNumberFormat="1" applyFont="1" applyFill="1" applyBorder="1" applyAlignment="1">
      <alignment horizontal="center" vertical="center" wrapText="1"/>
    </xf>
    <xf numFmtId="1" fontId="3" fillId="10" borderId="8" xfId="0" applyNumberFormat="1" applyFont="1" applyFill="1" applyBorder="1" applyAlignment="1">
      <alignment horizontal="center" vertical="center" wrapText="1"/>
    </xf>
    <xf numFmtId="1" fontId="3" fillId="21" borderId="3" xfId="0" applyNumberFormat="1" applyFont="1" applyFill="1" applyBorder="1" applyAlignment="1">
      <alignment horizontal="center" vertical="center" wrapText="1"/>
    </xf>
    <xf numFmtId="1" fontId="3" fillId="21" borderId="11" xfId="0" applyNumberFormat="1" applyFont="1" applyFill="1" applyBorder="1" applyAlignment="1">
      <alignment horizontal="center" vertical="center" wrapText="1"/>
    </xf>
    <xf numFmtId="1" fontId="3" fillId="21" borderId="4" xfId="0" applyNumberFormat="1" applyFont="1" applyFill="1" applyBorder="1" applyAlignment="1">
      <alignment horizontal="center" vertical="center" wrapText="1"/>
    </xf>
    <xf numFmtId="1" fontId="3" fillId="20" borderId="3" xfId="0" applyNumberFormat="1" applyFont="1" applyFill="1" applyBorder="1" applyAlignment="1">
      <alignment horizontal="center" vertical="center" wrapText="1"/>
    </xf>
    <xf numFmtId="1" fontId="3" fillId="20" borderId="11" xfId="0" applyNumberFormat="1" applyFont="1" applyFill="1" applyBorder="1" applyAlignment="1">
      <alignment horizontal="center" vertical="center" wrapText="1"/>
    </xf>
    <xf numFmtId="1" fontId="3" fillId="20" borderId="4" xfId="0" applyNumberFormat="1" applyFont="1" applyFill="1" applyBorder="1" applyAlignment="1">
      <alignment horizontal="center" vertical="center" wrapText="1"/>
    </xf>
    <xf numFmtId="1" fontId="3" fillId="19" borderId="3" xfId="0" applyNumberFormat="1" applyFont="1" applyFill="1" applyBorder="1" applyAlignment="1">
      <alignment horizontal="center" vertical="center" wrapText="1"/>
    </xf>
    <xf numFmtId="1" fontId="3" fillId="19" borderId="11" xfId="0" applyNumberFormat="1" applyFont="1" applyFill="1" applyBorder="1" applyAlignment="1">
      <alignment horizontal="center" vertical="center" wrapText="1"/>
    </xf>
    <xf numFmtId="1" fontId="3" fillId="19" borderId="4" xfId="0" applyNumberFormat="1" applyFont="1" applyFill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wrapText="1"/>
    </xf>
    <xf numFmtId="1" fontId="12" fillId="0" borderId="11" xfId="0" applyNumberFormat="1" applyFont="1" applyBorder="1" applyAlignment="1">
      <alignment horizontal="center" wrapText="1"/>
    </xf>
    <xf numFmtId="1" fontId="12" fillId="0" borderId="4" xfId="0" applyNumberFormat="1" applyFont="1" applyBorder="1" applyAlignment="1">
      <alignment horizontal="center" wrapText="1"/>
    </xf>
    <xf numFmtId="1" fontId="22" fillId="0" borderId="5" xfId="0" applyNumberFormat="1" applyFont="1" applyBorder="1" applyAlignment="1">
      <alignment horizontal="center" vertical="center" textRotation="90" wrapText="1"/>
    </xf>
    <xf numFmtId="1" fontId="22" fillId="0" borderId="12" xfId="0" applyNumberFormat="1" applyFont="1" applyBorder="1" applyAlignment="1">
      <alignment horizontal="center" vertical="center" textRotation="90" wrapText="1"/>
    </xf>
    <xf numFmtId="1" fontId="22" fillId="0" borderId="13" xfId="0" applyNumberFormat="1" applyFont="1" applyBorder="1" applyAlignment="1">
      <alignment horizontal="center" vertical="center" textRotation="90" wrapText="1"/>
    </xf>
    <xf numFmtId="1" fontId="6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 vertical="center"/>
    </xf>
    <xf numFmtId="0" fontId="35" fillId="0" borderId="1" xfId="0" applyFont="1" applyBorder="1" applyAlignment="1">
      <alignment horizontal="left" vertical="center" wrapText="1" shrinkToFit="1"/>
    </xf>
    <xf numFmtId="0" fontId="35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vertical="center" wrapText="1"/>
    </xf>
    <xf numFmtId="1" fontId="9" fillId="0" borderId="7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44" fillId="0" borderId="3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44" fillId="0" borderId="4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6" fillId="0" borderId="3" xfId="0" applyFont="1" applyBorder="1" applyAlignment="1">
      <alignment horizontal="center"/>
    </xf>
    <xf numFmtId="0" fontId="56" fillId="0" borderId="11" xfId="0" applyFont="1" applyBorder="1" applyAlignment="1">
      <alignment horizontal="center"/>
    </xf>
    <xf numFmtId="0" fontId="56" fillId="0" borderId="4" xfId="0" applyFont="1" applyBorder="1" applyAlignment="1">
      <alignment horizontal="center"/>
    </xf>
  </cellXfs>
  <cellStyles count="5">
    <cellStyle name="Hiperłącze" xfId="1" builtinId="8"/>
    <cellStyle name="Neutralny" xfId="4" builtinId="28"/>
    <cellStyle name="Normalny" xfId="0" builtinId="0"/>
    <cellStyle name="Normalny 2" xfId="3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% Form 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Przedmioty_statystyka!$R$2</c:f>
              <c:strCache>
                <c:ptCount val="1"/>
                <c:pt idx="0">
                  <c:v>%W</c:v>
                </c:pt>
              </c:strCache>
            </c:strRef>
          </c:tx>
          <c:spPr>
            <a:ln w="25400" cap="rnd" cmpd="dbl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Przedmioty_statystyka!$R$3:$R$8</c:f>
              <c:numCache>
                <c:formatCode>0.00</c:formatCode>
                <c:ptCount val="6"/>
                <c:pt idx="0">
                  <c:v>23.255813953488371</c:v>
                </c:pt>
                <c:pt idx="1">
                  <c:v>10.714285714285714</c:v>
                </c:pt>
                <c:pt idx="2">
                  <c:v>20.238095238095237</c:v>
                </c:pt>
                <c:pt idx="3">
                  <c:v>11.494252873563218</c:v>
                </c:pt>
                <c:pt idx="4">
                  <c:v>12.643678160919542</c:v>
                </c:pt>
                <c:pt idx="5">
                  <c:v>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AD-4A98-89B8-4B4C2EAC8C37}"/>
            </c:ext>
          </c:extLst>
        </c:ser>
        <c:ser>
          <c:idx val="1"/>
          <c:order val="1"/>
          <c:tx>
            <c:strRef>
              <c:f>Przedmioty_statystyka!$S$2</c:f>
              <c:strCache>
                <c:ptCount val="1"/>
                <c:pt idx="0">
                  <c:v>%Ć </c:v>
                </c:pt>
              </c:strCache>
            </c:strRef>
          </c:tx>
          <c:spPr>
            <a:ln w="25400" cap="rnd" cmpd="dbl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Przedmioty_statystyka!$S$3:$S$8</c:f>
              <c:numCache>
                <c:formatCode>0.00</c:formatCode>
                <c:ptCount val="6"/>
                <c:pt idx="0">
                  <c:v>31.395348837209301</c:v>
                </c:pt>
                <c:pt idx="1">
                  <c:v>28.571428571428569</c:v>
                </c:pt>
                <c:pt idx="2">
                  <c:v>28.571428571428569</c:v>
                </c:pt>
                <c:pt idx="3">
                  <c:v>24.137931034482758</c:v>
                </c:pt>
                <c:pt idx="4">
                  <c:v>18.390804597701148</c:v>
                </c:pt>
                <c:pt idx="5">
                  <c:v>13.888888888888889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AD-4A98-89B8-4B4C2EAC8C37}"/>
            </c:ext>
          </c:extLst>
        </c:ser>
        <c:ser>
          <c:idx val="2"/>
          <c:order val="2"/>
          <c:tx>
            <c:strRef>
              <c:f>Przedmioty_statystyka!$T$2</c:f>
              <c:strCache>
                <c:ptCount val="1"/>
                <c:pt idx="0">
                  <c:v>%S</c:v>
                </c:pt>
              </c:strCache>
            </c:strRef>
          </c:tx>
          <c:spPr>
            <a:ln w="25400" cap="rnd" cmpd="dbl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Przedmioty_statystyka!$T$3:$T$8</c:f>
              <c:numCache>
                <c:formatCode>0.00</c:formatCode>
                <c:ptCount val="6"/>
                <c:pt idx="0">
                  <c:v>45.348837209302324</c:v>
                </c:pt>
                <c:pt idx="1">
                  <c:v>42.857142857142854</c:v>
                </c:pt>
                <c:pt idx="2">
                  <c:v>41.666666666666671</c:v>
                </c:pt>
                <c:pt idx="3">
                  <c:v>47.126436781609193</c:v>
                </c:pt>
                <c:pt idx="4">
                  <c:v>45.977011494252871</c:v>
                </c:pt>
                <c:pt idx="5">
                  <c:v>45.833333333333329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AD-4A98-89B8-4B4C2EAC8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211264"/>
        <c:axId val="186211656"/>
      </c:scatterChart>
      <c:valAx>
        <c:axId val="186211264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Semestr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211656"/>
        <c:crosses val="autoZero"/>
        <c:crossBetween val="midCat"/>
        <c:majorUnit val="1"/>
      </c:valAx>
      <c:valAx>
        <c:axId val="186211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Zajęć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211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% Form 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3420728826009048"/>
          <c:y val="0.29466052734787462"/>
          <c:w val="0.8263393546394936"/>
          <c:h val="0.49267995595378161"/>
        </c:manualLayout>
      </c:layout>
      <c:scatterChart>
        <c:scatterStyle val="lineMarker"/>
        <c:varyColors val="0"/>
        <c:ser>
          <c:idx val="0"/>
          <c:order val="0"/>
          <c:tx>
            <c:strRef>
              <c:f>Przedmioty_statystyka!$U$2</c:f>
              <c:strCache>
                <c:ptCount val="1"/>
                <c:pt idx="0">
                  <c:v>%WP-UGK</c:v>
                </c:pt>
              </c:strCache>
            </c:strRef>
          </c:tx>
          <c:spPr>
            <a:ln w="25400" cap="rnd" cmpd="dbl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Przedmioty_statystyka!$U$3:$U$8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22.988505747126435</c:v>
                </c:pt>
                <c:pt idx="5">
                  <c:v>27.777777777777779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F5-4BC3-9107-7AA8362C4556}"/>
            </c:ext>
          </c:extLst>
        </c:ser>
        <c:ser>
          <c:idx val="1"/>
          <c:order val="1"/>
          <c:tx>
            <c:strRef>
              <c:f>Przedmioty_statystyka!$V$2</c:f>
              <c:strCache>
                <c:ptCount val="1"/>
                <c:pt idx="0">
                  <c:v>%PZ-GZ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Przedmioty_statystyka!$V$3:$V$8</c:f>
              <c:numCache>
                <c:formatCode>0.00</c:formatCode>
                <c:ptCount val="6"/>
                <c:pt idx="0">
                  <c:v>0</c:v>
                </c:pt>
                <c:pt idx="1">
                  <c:v>17.857142857142858</c:v>
                </c:pt>
                <c:pt idx="2">
                  <c:v>0</c:v>
                </c:pt>
                <c:pt idx="3">
                  <c:v>17.241379310344829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F5-4BC3-9107-7AA8362C4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639544"/>
        <c:axId val="233639936"/>
      </c:scatterChart>
      <c:valAx>
        <c:axId val="233639544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Semestr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39936"/>
        <c:crosses val="autoZero"/>
        <c:crossBetween val="midCat"/>
        <c:majorUnit val="1"/>
      </c:valAx>
      <c:valAx>
        <c:axId val="23363993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Zajęć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39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157901385321489"/>
          <c:y val="0.13946963526110961"/>
          <c:w val="0.4669070823114323"/>
          <c:h val="7.8343166714188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u="none" strike="noStrike" kern="1200" spc="0" baseline="0">
                <a:solidFill>
                  <a:sysClr val="windowText" lastClr="000000"/>
                </a:solidFill>
              </a:rPr>
              <a:t>% Samokształcenia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4534804771025245"/>
          <c:y val="0.2859035451980606"/>
          <c:w val="0.81192350956130488"/>
          <c:h val="0.50082408647045917"/>
        </c:manualLayout>
      </c:layout>
      <c:scatterChart>
        <c:scatterStyle val="lineMarker"/>
        <c:varyColors val="0"/>
        <c:ser>
          <c:idx val="0"/>
          <c:order val="0"/>
          <c:tx>
            <c:strRef>
              <c:f>Przedmioty_statystyka!$Z$2</c:f>
              <c:strCache>
                <c:ptCount val="1"/>
                <c:pt idx="0">
                  <c:v>%SK</c:v>
                </c:pt>
              </c:strCache>
            </c:strRef>
          </c:tx>
          <c:spPr>
            <a:ln w="25400" cap="rnd" cmpd="dbl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Przedmioty_statystyka!$Y$3:$Y$8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Przedmioty_statystyka!$Z$3:$Z$8</c:f>
              <c:numCache>
                <c:formatCode>0.00</c:formatCode>
                <c:ptCount val="6"/>
                <c:pt idx="0">
                  <c:v>45.333333333333329</c:v>
                </c:pt>
                <c:pt idx="1">
                  <c:v>56.666666666666664</c:v>
                </c:pt>
                <c:pt idx="2">
                  <c:v>47.333333333333336</c:v>
                </c:pt>
                <c:pt idx="3">
                  <c:v>52</c:v>
                </c:pt>
                <c:pt idx="4">
                  <c:v>42.666666666666671</c:v>
                </c:pt>
                <c:pt idx="5">
                  <c:v>52.266666666666659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35-49A3-A321-F2B07ECE1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640720"/>
        <c:axId val="233641112"/>
      </c:scatterChart>
      <c:valAx>
        <c:axId val="233640720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Semestr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41112"/>
        <c:crosses val="autoZero"/>
        <c:crossBetween val="midCat"/>
        <c:majorUnit val="1"/>
      </c:valAx>
      <c:valAx>
        <c:axId val="2336411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</a:t>
                </a:r>
                <a:r>
                  <a:rPr lang="pl-PL" baseline="0"/>
                  <a:t>godzin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3.4396497811131958E-2"/>
              <c:y val="0.422410066388760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40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u="none" strike="noStrike" kern="1200" spc="0" baseline="0">
                <a:solidFill>
                  <a:sysClr val="windowText" lastClr="000000"/>
                </a:solidFill>
              </a:rPr>
              <a:t>% Form kształcenia w całym toku kształcenia</a:t>
            </a:r>
          </a:p>
        </c:rich>
      </c:tx>
      <c:layout>
        <c:manualLayout>
          <c:xMode val="edge"/>
          <c:yMode val="edge"/>
          <c:x val="0.21003460207612457"/>
          <c:y val="3.4722222222222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4534804771025245"/>
          <c:y val="0.2859035451980606"/>
          <c:w val="0.80826857991435286"/>
          <c:h val="0.55365790011118932"/>
        </c:manualLayout>
      </c:layout>
      <c:barChart>
        <c:barDir val="col"/>
        <c:grouping val="clustered"/>
        <c:varyColors val="0"/>
        <c:ser>
          <c:idx val="0"/>
          <c:order val="0"/>
          <c:tx>
            <c:v>formy kształcenia</c:v>
          </c:tx>
          <c:spPr>
            <a:solidFill>
              <a:schemeClr val="accent1"/>
            </a:solidFill>
            <a:ln w="25400" cmpd="dbl">
              <a:solidFill>
                <a:srgbClr val="7030A0"/>
              </a:solidFill>
            </a:ln>
            <a:effectLst/>
          </c:spPr>
          <c:invertIfNegative val="0"/>
          <c:cat>
            <c:strRef>
              <c:f>Przedmioty_statystyka!$AF$3:$AK$3</c:f>
              <c:strCache>
                <c:ptCount val="6"/>
                <c:pt idx="0">
                  <c:v>%W</c:v>
                </c:pt>
                <c:pt idx="1">
                  <c:v>%Ć</c:v>
                </c:pt>
                <c:pt idx="2">
                  <c:v>%S</c:v>
                </c:pt>
                <c:pt idx="3">
                  <c:v>%WP-UGK</c:v>
                </c:pt>
                <c:pt idx="4">
                  <c:v>%PZ-GZ</c:v>
                </c:pt>
                <c:pt idx="5">
                  <c:v>%SK</c:v>
                </c:pt>
              </c:strCache>
            </c:strRef>
          </c:cat>
          <c:val>
            <c:numRef>
              <c:f>Przedmioty_statystyka!$AF$4:$AK$4</c:f>
              <c:numCache>
                <c:formatCode>0.00</c:formatCode>
                <c:ptCount val="6"/>
                <c:pt idx="0">
                  <c:v>15.2</c:v>
                </c:pt>
                <c:pt idx="1">
                  <c:v>26</c:v>
                </c:pt>
                <c:pt idx="2">
                  <c:v>44.800000000000004</c:v>
                </c:pt>
                <c:pt idx="3">
                  <c:v>8</c:v>
                </c:pt>
                <c:pt idx="4">
                  <c:v>6</c:v>
                </c:pt>
                <c:pt idx="5">
                  <c:v>49.377777777777773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9-4799-8D1C-0F7BC6D8F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641896"/>
        <c:axId val="233642288"/>
      </c:barChart>
      <c:catAx>
        <c:axId val="233641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42288"/>
        <c:crosses val="autoZero"/>
        <c:auto val="1"/>
        <c:lblAlgn val="ctr"/>
        <c:lblOffset val="100"/>
        <c:noMultiLvlLbl val="0"/>
      </c:catAx>
      <c:valAx>
        <c:axId val="2336422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</a:t>
                </a:r>
                <a:r>
                  <a:rPr lang="pl-PL" baseline="0"/>
                  <a:t>godzin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710746996874353E-2"/>
              <c:y val="0.436819154810259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41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91440</xdr:colOff>
      <xdr:row>195</xdr:row>
      <xdr:rowOff>0</xdr:rowOff>
    </xdr:from>
    <xdr:to>
      <xdr:col>31</xdr:col>
      <xdr:colOff>304800</xdr:colOff>
      <xdr:row>196</xdr:row>
      <xdr:rowOff>71120</xdr:rowOff>
    </xdr:to>
    <xdr:sp macro="" textlink="">
      <xdr:nvSpPr>
        <xdr:cNvPr id="3" name="Dymek mowy: prostokąt 2">
          <a:extLst>
            <a:ext uri="{FF2B5EF4-FFF2-40B4-BE49-F238E27FC236}">
              <a16:creationId xmlns:a16="http://schemas.microsoft.com/office/drawing/2014/main" id="{02CFA6E4-4A3A-4368-B9BF-2FA9992572D0}"/>
            </a:ext>
          </a:extLst>
        </xdr:cNvPr>
        <xdr:cNvSpPr/>
      </xdr:nvSpPr>
      <xdr:spPr>
        <a:xfrm>
          <a:off x="12385040" y="62534800"/>
          <a:ext cx="1717040" cy="487680"/>
        </a:xfrm>
        <a:prstGeom prst="wedgeRectCallout">
          <a:avLst>
            <a:gd name="adj1" fmla="val -71671"/>
            <a:gd name="adj2" fmla="val 1060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seminarium indywidualne</a:t>
          </a:r>
        </a:p>
        <a:p>
          <a:pPr algn="l"/>
          <a:r>
            <a:rPr lang="pl-PL" sz="1100"/>
            <a:t> </a:t>
          </a:r>
          <a:r>
            <a:rPr lang="pl-PL" sz="1100" b="1"/>
            <a:t>ZO</a:t>
          </a:r>
          <a:r>
            <a:rPr lang="pl-PL" sz="1100" b="1" baseline="0"/>
            <a:t> wspolne PR+IN</a:t>
          </a:r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r>
            <a:rPr lang="pl-PL" sz="1000" baseline="0"/>
            <a:t>r</a:t>
          </a:r>
        </a:p>
        <a:p>
          <a:pPr algn="l"/>
          <a:r>
            <a:rPr lang="pl-PL" sz="1000" baseline="0"/>
            <a:t>=</a:t>
          </a:r>
          <a:endParaRPr lang="pl-PL" sz="1000"/>
        </a:p>
      </xdr:txBody>
    </xdr:sp>
    <xdr:clientData/>
  </xdr:twoCellAnchor>
  <xdr:twoCellAnchor>
    <xdr:from>
      <xdr:col>26</xdr:col>
      <xdr:colOff>182880</xdr:colOff>
      <xdr:row>110</xdr:row>
      <xdr:rowOff>152400</xdr:rowOff>
    </xdr:from>
    <xdr:to>
      <xdr:col>33</xdr:col>
      <xdr:colOff>314960</xdr:colOff>
      <xdr:row>111</xdr:row>
      <xdr:rowOff>142240</xdr:rowOff>
    </xdr:to>
    <xdr:sp macro="" textlink="">
      <xdr:nvSpPr>
        <xdr:cNvPr id="13" name="Dymek mowy: prostokąt 12">
          <a:extLst>
            <a:ext uri="{FF2B5EF4-FFF2-40B4-BE49-F238E27FC236}">
              <a16:creationId xmlns:a16="http://schemas.microsoft.com/office/drawing/2014/main" id="{593C362C-41AE-40D5-A1F4-8612738ADA68}"/>
            </a:ext>
          </a:extLst>
        </xdr:cNvPr>
        <xdr:cNvSpPr/>
      </xdr:nvSpPr>
      <xdr:spPr>
        <a:xfrm>
          <a:off x="12100560" y="43555920"/>
          <a:ext cx="2763520" cy="497840"/>
        </a:xfrm>
        <a:prstGeom prst="wedgeRectCallout">
          <a:avLst>
            <a:gd name="adj1" fmla="val -66788"/>
            <a:gd name="adj2" fmla="val 2099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000"/>
            <a:t>ZO </a:t>
          </a:r>
          <a:r>
            <a:rPr lang="pl-PL" sz="1000" baseline="0"/>
            <a:t>wspolne:</a:t>
          </a:r>
        </a:p>
        <a:p>
          <a:pPr algn="l"/>
          <a:r>
            <a:rPr lang="pl-PL" sz="1000" baseline="0"/>
            <a:t>Kosmet. geriatryczna+ Marketing w kosmet.</a:t>
          </a:r>
          <a:endParaRPr lang="pl-PL" sz="1000"/>
        </a:p>
      </xdr:txBody>
    </xdr:sp>
    <xdr:clientData/>
  </xdr:twoCellAnchor>
  <xdr:twoCellAnchor>
    <xdr:from>
      <xdr:col>28</xdr:col>
      <xdr:colOff>355600</xdr:colOff>
      <xdr:row>178</xdr:row>
      <xdr:rowOff>152400</xdr:rowOff>
    </xdr:from>
    <xdr:to>
      <xdr:col>33</xdr:col>
      <xdr:colOff>325120</xdr:colOff>
      <xdr:row>178</xdr:row>
      <xdr:rowOff>579120</xdr:rowOff>
    </xdr:to>
    <xdr:sp macro="" textlink="">
      <xdr:nvSpPr>
        <xdr:cNvPr id="2" name="Dymek mowy: prostokąt 1">
          <a:extLst>
            <a:ext uri="{FF2B5EF4-FFF2-40B4-BE49-F238E27FC236}">
              <a16:creationId xmlns:a16="http://schemas.microsoft.com/office/drawing/2014/main" id="{956262E1-8945-4786-B007-4E09EBACBD6F}"/>
            </a:ext>
          </a:extLst>
        </xdr:cNvPr>
        <xdr:cNvSpPr/>
      </xdr:nvSpPr>
      <xdr:spPr>
        <a:xfrm>
          <a:off x="13025120" y="68132960"/>
          <a:ext cx="1849120" cy="426720"/>
        </a:xfrm>
        <a:prstGeom prst="wedgeRectCallout">
          <a:avLst>
            <a:gd name="adj1" fmla="val -96559"/>
            <a:gd name="adj2" fmla="val 2269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Samokształcenie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</xdr:colOff>
      <xdr:row>10</xdr:row>
      <xdr:rowOff>167640</xdr:rowOff>
    </xdr:from>
    <xdr:to>
      <xdr:col>22</xdr:col>
      <xdr:colOff>571500</xdr:colOff>
      <xdr:row>26</xdr:row>
      <xdr:rowOff>144780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50BECC63-9573-4DB7-9BB0-99E1D2FDA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28</xdr:row>
      <xdr:rowOff>22860</xdr:rowOff>
    </xdr:from>
    <xdr:to>
      <xdr:col>22</xdr:col>
      <xdr:colOff>60960</xdr:colOff>
      <xdr:row>43</xdr:row>
      <xdr:rowOff>15240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EF4584AB-856C-417A-AFFA-E983B6E10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601980</xdr:colOff>
      <xdr:row>11</xdr:row>
      <xdr:rowOff>0</xdr:rowOff>
    </xdr:from>
    <xdr:to>
      <xdr:col>30</xdr:col>
      <xdr:colOff>281940</xdr:colOff>
      <xdr:row>27</xdr:row>
      <xdr:rowOff>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5EBD7D-7C41-48C4-B67D-35D7EEB5D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312420</xdr:colOff>
      <xdr:row>10</xdr:row>
      <xdr:rowOff>15240</xdr:rowOff>
    </xdr:from>
    <xdr:to>
      <xdr:col>37</xdr:col>
      <xdr:colOff>327660</xdr:colOff>
      <xdr:row>26</xdr:row>
      <xdr:rowOff>15240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D0991362-45C1-4529-9597-23D810CA9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69</xdr:row>
      <xdr:rowOff>38447</xdr:rowOff>
    </xdr:from>
    <xdr:to>
      <xdr:col>4</xdr:col>
      <xdr:colOff>563880</xdr:colOff>
      <xdr:row>97</xdr:row>
      <xdr:rowOff>109391</xdr:rowOff>
    </xdr:to>
    <xdr:pic>
      <xdr:nvPicPr>
        <xdr:cNvPr id="2" name="Obraz 1" descr="Obraz zawierający tekst, zrzut ekranu, Czcionka&#10;&#10;Opis wygenerowany automatycznie">
          <a:extLst>
            <a:ext uri="{FF2B5EF4-FFF2-40B4-BE49-F238E27FC236}">
              <a16:creationId xmlns:a16="http://schemas.microsoft.com/office/drawing/2014/main" id="{3AD61251-54C9-F28D-7C87-3FBE32ADF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" y="12687647"/>
          <a:ext cx="6880860" cy="4978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22860</xdr:colOff>
      <xdr:row>0</xdr:row>
      <xdr:rowOff>1965960</xdr:rowOff>
    </xdr:from>
    <xdr:to>
      <xdr:col>31</xdr:col>
      <xdr:colOff>290164</xdr:colOff>
      <xdr:row>14</xdr:row>
      <xdr:rowOff>160357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FE0CBBC-966D-91EA-B05E-6C98506D5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06060" y="1965960"/>
          <a:ext cx="6972904" cy="3894157"/>
        </a:xfrm>
        <a:prstGeom prst="rect">
          <a:avLst/>
        </a:prstGeom>
      </xdr:spPr>
    </xdr:pic>
    <xdr:clientData/>
  </xdr:twoCellAnchor>
  <xdr:twoCellAnchor>
    <xdr:from>
      <xdr:col>17</xdr:col>
      <xdr:colOff>281940</xdr:colOff>
      <xdr:row>3</xdr:row>
      <xdr:rowOff>312420</xdr:rowOff>
    </xdr:from>
    <xdr:to>
      <xdr:col>17</xdr:col>
      <xdr:colOff>281940</xdr:colOff>
      <xdr:row>4</xdr:row>
      <xdr:rowOff>289560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CDB46897-BA96-BEFE-B75F-7A95DE82F334}"/>
            </a:ext>
          </a:extLst>
        </xdr:cNvPr>
        <xdr:cNvCxnSpPr/>
      </xdr:nvCxnSpPr>
      <xdr:spPr>
        <a:xfrm flipV="1">
          <a:off x="16200120" y="2941320"/>
          <a:ext cx="0" cy="297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274320</xdr:colOff>
      <xdr:row>4</xdr:row>
      <xdr:rowOff>0</xdr:rowOff>
    </xdr:from>
    <xdr:to>
      <xdr:col>18</xdr:col>
      <xdr:colOff>274320</xdr:colOff>
      <xdr:row>4</xdr:row>
      <xdr:rowOff>297180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5EC30F94-F909-4C86-8357-D025E40773C4}"/>
            </a:ext>
          </a:extLst>
        </xdr:cNvPr>
        <xdr:cNvCxnSpPr/>
      </xdr:nvCxnSpPr>
      <xdr:spPr>
        <a:xfrm flipV="1">
          <a:off x="16840200" y="2948940"/>
          <a:ext cx="0" cy="297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289560</xdr:colOff>
      <xdr:row>13</xdr:row>
      <xdr:rowOff>312420</xdr:rowOff>
    </xdr:from>
    <xdr:to>
      <xdr:col>17</xdr:col>
      <xdr:colOff>289560</xdr:colOff>
      <xdr:row>14</xdr:row>
      <xdr:rowOff>289560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id="{BB6E5012-B694-4174-9ADC-484470A2790A}"/>
            </a:ext>
          </a:extLst>
        </xdr:cNvPr>
        <xdr:cNvCxnSpPr/>
      </xdr:nvCxnSpPr>
      <xdr:spPr>
        <a:xfrm flipV="1">
          <a:off x="16207740" y="5692140"/>
          <a:ext cx="0" cy="297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281940</xdr:colOff>
      <xdr:row>14</xdr:row>
      <xdr:rowOff>0</xdr:rowOff>
    </xdr:from>
    <xdr:to>
      <xdr:col>18</xdr:col>
      <xdr:colOff>281940</xdr:colOff>
      <xdr:row>14</xdr:row>
      <xdr:rowOff>297180</xdr:rowOff>
    </xdr:to>
    <xdr:cxnSp macro="">
      <xdr:nvCxnSpPr>
        <xdr:cNvPr id="13" name="Łącznik prosty ze strzałką 12">
          <a:extLst>
            <a:ext uri="{FF2B5EF4-FFF2-40B4-BE49-F238E27FC236}">
              <a16:creationId xmlns:a16="http://schemas.microsoft.com/office/drawing/2014/main" id="{BA2C1553-F411-4B01-9E3A-B4D7065045EB}"/>
            </a:ext>
          </a:extLst>
        </xdr:cNvPr>
        <xdr:cNvCxnSpPr/>
      </xdr:nvCxnSpPr>
      <xdr:spPr>
        <a:xfrm flipV="1">
          <a:off x="16847820" y="5699760"/>
          <a:ext cx="0" cy="297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25</xdr:row>
      <xdr:rowOff>50800</xdr:rowOff>
    </xdr:from>
    <xdr:to>
      <xdr:col>13</xdr:col>
      <xdr:colOff>190501</xdr:colOff>
      <xdr:row>33</xdr:row>
      <xdr:rowOff>165100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88214200"/>
          <a:ext cx="65532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587375</xdr:colOff>
      <xdr:row>0</xdr:row>
      <xdr:rowOff>172650</xdr:rowOff>
    </xdr:from>
    <xdr:to>
      <xdr:col>11</xdr:col>
      <xdr:colOff>47624</xdr:colOff>
      <xdr:row>18</xdr:row>
      <xdr:rowOff>100339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" y="1506150"/>
          <a:ext cx="6165849" cy="3385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34</xdr:row>
      <xdr:rowOff>149124</xdr:rowOff>
    </xdr:from>
    <xdr:to>
      <xdr:col>10</xdr:col>
      <xdr:colOff>219075</xdr:colOff>
      <xdr:row>68</xdr:row>
      <xdr:rowOff>133349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8199"/>
          <a:ext cx="5876925" cy="646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73b22d6edcdfed/Pulpit/KOSMETOLOGIA_2023/PLANY_BILANS/PlanKS2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_statystyki"/>
      <sheetName val="ECTS-nauki"/>
      <sheetName val="E,ZO,Z"/>
      <sheetName val="Moduly_full on-line"/>
      <sheetName val="Macierz-statystyka"/>
      <sheetName val="Obciazenie Studenta"/>
      <sheetName val="Opis "/>
      <sheetName val="Wskazniki liczbowe1"/>
      <sheetName val="Wskazniki liczbowe2"/>
      <sheetName val="ECTS-badania"/>
      <sheetName val="ECTS-moduly dw"/>
      <sheetName val="przedmioty-godziny"/>
      <sheetName val="Baza przedmiotow"/>
    </sheetNames>
    <sheetDataSet>
      <sheetData sheetId="0">
        <row r="127">
          <cell r="D127">
            <v>1665</v>
          </cell>
          <cell r="F127">
            <v>120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mlub.pl/uczelnia/pracownicy/szczegoly,1935.html" TargetMode="External"/><Relationship Id="rId1" Type="http://schemas.openxmlformats.org/officeDocument/2006/relationships/hyperlink" Target="https://umlub.pl/uczelnia/pracownicy/szczegoly,731.htm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Q261"/>
  <sheetViews>
    <sheetView tabSelected="1" zoomScale="115" zoomScaleNormal="115" workbookViewId="0">
      <pane xSplit="13" ySplit="7" topLeftCell="N120" activePane="bottomRight" state="frozen"/>
      <selection pane="topRight" activeCell="N1" sqref="N1"/>
      <selection pane="bottomLeft" activeCell="A8" sqref="A8"/>
      <selection pane="bottomRight" activeCell="E123" sqref="E123"/>
    </sheetView>
  </sheetViews>
  <sheetFormatPr defaultColWidth="9.140625" defaultRowHeight="15" x14ac:dyDescent="0.25"/>
  <cols>
    <col min="1" max="2" width="1.28515625" style="10" customWidth="1"/>
    <col min="3" max="3" width="37.140625" style="10" customWidth="1"/>
    <col min="4" max="4" width="26.140625" style="10" customWidth="1"/>
    <col min="5" max="5" width="5.42578125" style="10" customWidth="1"/>
    <col min="6" max="7" width="5.42578125" style="30" customWidth="1"/>
    <col min="8" max="8" width="5.42578125" style="32" customWidth="1"/>
    <col min="9" max="9" width="5.42578125" style="30" customWidth="1"/>
    <col min="10" max="10" width="5.42578125" style="32" customWidth="1"/>
    <col min="11" max="11" width="5.42578125" style="115" customWidth="1"/>
    <col min="12" max="16" width="5.42578125" style="437" customWidth="1"/>
    <col min="17" max="21" width="5.42578125" style="456" customWidth="1"/>
    <col min="22" max="26" width="5.42578125" style="485" customWidth="1"/>
    <col min="27" max="34" width="5.42578125" style="10" customWidth="1"/>
    <col min="35" max="35" width="23.85546875" style="8" customWidth="1"/>
    <col min="36" max="36" width="16.28515625" style="8" customWidth="1"/>
    <col min="37" max="37" width="9.140625" style="8"/>
    <col min="38" max="38" width="26.140625" style="2" customWidth="1"/>
    <col min="39" max="39" width="9.28515625" style="8" customWidth="1"/>
    <col min="40" max="40" width="8.28515625" style="8" customWidth="1"/>
    <col min="41" max="41" width="3.28515625" style="8" customWidth="1"/>
    <col min="42" max="42" width="3.5703125" style="8" customWidth="1"/>
    <col min="43" max="57" width="3.28515625" style="8" customWidth="1"/>
    <col min="58" max="58" width="5" style="8" customWidth="1"/>
    <col min="59" max="64" width="3.28515625" style="8" customWidth="1"/>
    <col min="65" max="65" width="5" style="8" customWidth="1"/>
    <col min="66" max="67" width="3.28515625" style="8" customWidth="1"/>
    <col min="68" max="68" width="5" style="8" customWidth="1"/>
    <col min="69" max="70" width="3.28515625" style="8" customWidth="1"/>
    <col min="71" max="71" width="4.5703125" style="8" customWidth="1"/>
    <col min="72" max="75" width="3.28515625" style="8" customWidth="1"/>
    <col min="76" max="76" width="5" style="8" customWidth="1"/>
    <col min="77" max="84" width="3.28515625" style="8" customWidth="1"/>
    <col min="85" max="85" width="3.85546875" style="8" customWidth="1"/>
    <col min="86" max="92" width="3.28515625" style="8" customWidth="1"/>
    <col min="93" max="93" width="6" style="8" customWidth="1"/>
    <col min="94" max="94" width="4.140625" style="8" customWidth="1"/>
    <col min="95" max="95" width="3.28515625" style="8" customWidth="1"/>
    <col min="96" max="96" width="3.85546875" style="8" customWidth="1"/>
    <col min="97" max="97" width="3.28515625" style="8" customWidth="1"/>
    <col min="98" max="98" width="3.5703125" style="8" customWidth="1"/>
    <col min="99" max="110" width="3.28515625" style="8" customWidth="1"/>
    <col min="111" max="111" width="5" style="8" customWidth="1"/>
    <col min="112" max="112" width="4" style="8" customWidth="1"/>
    <col min="113" max="113" width="4.140625" style="8" customWidth="1"/>
    <col min="114" max="116" width="9.140625" style="8"/>
    <col min="117" max="117" width="93.5703125" style="80" customWidth="1"/>
    <col min="118" max="118" width="15.140625" style="80" customWidth="1"/>
    <col min="119" max="119" width="9.42578125" style="8" customWidth="1"/>
    <col min="120" max="120" width="41.5703125" style="8" customWidth="1"/>
    <col min="121" max="121" width="10.42578125" style="8" customWidth="1"/>
    <col min="122" max="16384" width="9.140625" style="8"/>
  </cols>
  <sheetData>
    <row r="1" spans="1:121" ht="82.15" customHeight="1" x14ac:dyDescent="0.25">
      <c r="A1" s="557" t="s">
        <v>0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  <c r="AG1" s="558"/>
      <c r="AH1" s="559"/>
      <c r="AI1" s="10"/>
      <c r="AJ1" s="331" t="s">
        <v>1</v>
      </c>
      <c r="AK1" s="10"/>
      <c r="AL1" s="10"/>
      <c r="AM1" s="10"/>
      <c r="AN1" s="10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M1" s="162"/>
      <c r="DN1" s="163"/>
      <c r="DO1" s="35"/>
      <c r="DP1" s="164"/>
      <c r="DQ1" s="165"/>
    </row>
    <row r="2" spans="1:121" ht="21" customHeight="1" x14ac:dyDescent="0.25">
      <c r="A2" s="513" t="s">
        <v>2</v>
      </c>
      <c r="B2" s="247"/>
      <c r="C2" s="513" t="s">
        <v>3</v>
      </c>
      <c r="D2" s="513" t="s">
        <v>4</v>
      </c>
      <c r="E2" s="504" t="s">
        <v>5</v>
      </c>
      <c r="F2" s="506"/>
      <c r="G2" s="522" t="s">
        <v>6</v>
      </c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  <c r="X2" s="523"/>
      <c r="Y2" s="523"/>
      <c r="Z2" s="523"/>
      <c r="AA2" s="523"/>
      <c r="AB2" s="523"/>
      <c r="AC2" s="523"/>
      <c r="AD2" s="523"/>
      <c r="AE2" s="523"/>
      <c r="AF2" s="523"/>
      <c r="AG2" s="523"/>
      <c r="AH2" s="524"/>
      <c r="AJ2" s="59"/>
      <c r="AL2" s="500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166"/>
      <c r="DM2" s="167"/>
      <c r="DN2" s="168"/>
      <c r="DO2" s="35"/>
      <c r="DP2" s="169"/>
      <c r="DQ2" s="170"/>
    </row>
    <row r="3" spans="1:121" ht="21" customHeight="1" x14ac:dyDescent="0.25">
      <c r="A3" s="514"/>
      <c r="B3" s="248"/>
      <c r="C3" s="514"/>
      <c r="D3" s="514"/>
      <c r="E3" s="516" t="s">
        <v>7</v>
      </c>
      <c r="F3" s="516" t="s">
        <v>8</v>
      </c>
      <c r="G3" s="516" t="s">
        <v>9</v>
      </c>
      <c r="H3" s="519" t="s">
        <v>8</v>
      </c>
      <c r="I3" s="560" t="s">
        <v>10</v>
      </c>
      <c r="J3" s="519" t="s">
        <v>8</v>
      </c>
      <c r="K3" s="519" t="s">
        <v>11</v>
      </c>
      <c r="L3" s="522" t="s">
        <v>12</v>
      </c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523"/>
      <c r="Z3" s="524"/>
      <c r="AA3" s="522" t="s">
        <v>13</v>
      </c>
      <c r="AB3" s="523"/>
      <c r="AC3" s="523"/>
      <c r="AD3" s="523"/>
      <c r="AE3" s="523"/>
      <c r="AF3" s="523"/>
      <c r="AG3" s="523"/>
      <c r="AH3" s="524"/>
      <c r="AL3" s="500"/>
      <c r="BF3" s="35"/>
      <c r="BS3" s="35"/>
      <c r="BY3" s="35"/>
      <c r="CN3" s="35"/>
      <c r="DG3" s="35"/>
      <c r="DM3" s="167"/>
      <c r="DN3" s="168"/>
      <c r="DO3" s="35"/>
      <c r="DP3" s="169"/>
      <c r="DQ3" s="170"/>
    </row>
    <row r="4" spans="1:121" ht="42.75" customHeight="1" x14ac:dyDescent="0.25">
      <c r="A4" s="514"/>
      <c r="B4" s="248"/>
      <c r="C4" s="514"/>
      <c r="D4" s="514"/>
      <c r="E4" s="517"/>
      <c r="F4" s="517"/>
      <c r="G4" s="517"/>
      <c r="H4" s="520"/>
      <c r="I4" s="561"/>
      <c r="J4" s="520"/>
      <c r="K4" s="520"/>
      <c r="L4" s="554" t="s">
        <v>14</v>
      </c>
      <c r="M4" s="555"/>
      <c r="N4" s="555"/>
      <c r="O4" s="555"/>
      <c r="P4" s="556"/>
      <c r="Q4" s="551" t="s">
        <v>15</v>
      </c>
      <c r="R4" s="552"/>
      <c r="S4" s="552"/>
      <c r="T4" s="552"/>
      <c r="U4" s="553"/>
      <c r="V4" s="548" t="s">
        <v>16</v>
      </c>
      <c r="W4" s="549"/>
      <c r="X4" s="549"/>
      <c r="Y4" s="549"/>
      <c r="Z4" s="550"/>
      <c r="AA4" s="522" t="s">
        <v>17</v>
      </c>
      <c r="AB4" s="523"/>
      <c r="AC4" s="523"/>
      <c r="AD4" s="524"/>
      <c r="AE4" s="522" t="s">
        <v>18</v>
      </c>
      <c r="AF4" s="523"/>
      <c r="AG4" s="523"/>
      <c r="AH4" s="524"/>
      <c r="AL4" s="500"/>
      <c r="BF4" s="35"/>
      <c r="BS4" s="35"/>
      <c r="BY4" s="35"/>
      <c r="CN4" s="35"/>
      <c r="DG4" s="35"/>
      <c r="DM4" s="167"/>
      <c r="DN4" s="168"/>
      <c r="DO4" s="35"/>
      <c r="DP4" s="169"/>
      <c r="DQ4" s="170"/>
    </row>
    <row r="5" spans="1:121" ht="37.5" customHeight="1" x14ac:dyDescent="0.25">
      <c r="A5" s="515"/>
      <c r="B5" s="249"/>
      <c r="C5" s="515"/>
      <c r="D5" s="515"/>
      <c r="E5" s="518"/>
      <c r="F5" s="518"/>
      <c r="G5" s="518"/>
      <c r="H5" s="521"/>
      <c r="I5" s="562"/>
      <c r="J5" s="521"/>
      <c r="K5" s="521"/>
      <c r="L5" s="430" t="s">
        <v>19</v>
      </c>
      <c r="M5" s="431" t="s">
        <v>8</v>
      </c>
      <c r="N5" s="431" t="s">
        <v>20</v>
      </c>
      <c r="O5" s="430" t="s">
        <v>21</v>
      </c>
      <c r="P5" s="430" t="s">
        <v>22</v>
      </c>
      <c r="Q5" s="449" t="s">
        <v>19</v>
      </c>
      <c r="R5" s="450" t="s">
        <v>8</v>
      </c>
      <c r="S5" s="450" t="s">
        <v>20</v>
      </c>
      <c r="T5" s="449" t="s">
        <v>21</v>
      </c>
      <c r="U5" s="449" t="s">
        <v>22</v>
      </c>
      <c r="V5" s="476" t="s">
        <v>19</v>
      </c>
      <c r="W5" s="477" t="s">
        <v>8</v>
      </c>
      <c r="X5" s="477" t="s">
        <v>20</v>
      </c>
      <c r="Y5" s="476" t="s">
        <v>21</v>
      </c>
      <c r="Z5" s="476" t="s">
        <v>22</v>
      </c>
      <c r="AA5" s="135" t="s">
        <v>19</v>
      </c>
      <c r="AB5" s="250" t="s">
        <v>8</v>
      </c>
      <c r="AC5" s="250" t="s">
        <v>20</v>
      </c>
      <c r="AD5" s="135" t="s">
        <v>21</v>
      </c>
      <c r="AE5" s="135" t="s">
        <v>19</v>
      </c>
      <c r="AF5" s="250" t="s">
        <v>8</v>
      </c>
      <c r="AG5" s="250" t="s">
        <v>20</v>
      </c>
      <c r="AH5" s="135" t="s">
        <v>21</v>
      </c>
      <c r="AJ5" s="35"/>
      <c r="AK5" s="35"/>
      <c r="AL5" s="500"/>
      <c r="BS5" s="35"/>
      <c r="BY5" s="35"/>
      <c r="CN5" s="35"/>
      <c r="DM5" s="167"/>
      <c r="DN5" s="168"/>
      <c r="DO5" s="35"/>
      <c r="DP5" s="171"/>
      <c r="DQ5" s="170"/>
    </row>
    <row r="6" spans="1:121" ht="16.5" customHeight="1" x14ac:dyDescent="0.25">
      <c r="A6" s="522" t="s">
        <v>23</v>
      </c>
      <c r="B6" s="523"/>
      <c r="C6" s="523"/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3"/>
      <c r="O6" s="523"/>
      <c r="P6" s="523"/>
      <c r="Q6" s="523"/>
      <c r="R6" s="523"/>
      <c r="S6" s="523"/>
      <c r="T6" s="523"/>
      <c r="U6" s="523"/>
      <c r="V6" s="523"/>
      <c r="W6" s="523"/>
      <c r="X6" s="523"/>
      <c r="Y6" s="523"/>
      <c r="Z6" s="523"/>
      <c r="AA6" s="523"/>
      <c r="AB6" s="523"/>
      <c r="AC6" s="523"/>
      <c r="AD6" s="523"/>
      <c r="AE6" s="523"/>
      <c r="AF6" s="523"/>
      <c r="AG6" s="523"/>
      <c r="AH6" s="524"/>
      <c r="AL6" s="8"/>
      <c r="BS6" s="35"/>
      <c r="CN6" s="35"/>
      <c r="DM6" s="167"/>
      <c r="DN6" s="168"/>
      <c r="DO6" s="35"/>
      <c r="DP6" s="169"/>
      <c r="DQ6" s="170"/>
    </row>
    <row r="7" spans="1:121" ht="25.5" x14ac:dyDescent="0.25">
      <c r="A7" s="251">
        <v>1</v>
      </c>
      <c r="B7" s="135"/>
      <c r="C7" s="190" t="s">
        <v>24</v>
      </c>
      <c r="D7" s="190" t="s">
        <v>25</v>
      </c>
      <c r="E7" s="190">
        <v>30</v>
      </c>
      <c r="F7" s="338">
        <v>2</v>
      </c>
      <c r="G7" s="192">
        <f>E7</f>
        <v>30</v>
      </c>
      <c r="H7" s="193">
        <f>(G7*1)/25</f>
        <v>1.2</v>
      </c>
      <c r="I7" s="192">
        <f>(F7*25)-G7</f>
        <v>20</v>
      </c>
      <c r="J7" s="193">
        <f>(I7*1)/25</f>
        <v>0.8</v>
      </c>
      <c r="K7" s="139" t="s">
        <v>26</v>
      </c>
      <c r="L7" s="432">
        <v>10</v>
      </c>
      <c r="M7" s="433">
        <f>(L7*$F7)/$E7</f>
        <v>0.66666666666666663</v>
      </c>
      <c r="N7" s="432"/>
      <c r="O7" s="432"/>
      <c r="P7" s="432"/>
      <c r="Q7" s="451"/>
      <c r="R7" s="451"/>
      <c r="S7" s="451"/>
      <c r="T7" s="451"/>
      <c r="U7" s="451"/>
      <c r="V7" s="478">
        <v>20</v>
      </c>
      <c r="W7" s="479">
        <f>(V7*$F7)/$E7</f>
        <v>1.3333333333333333</v>
      </c>
      <c r="X7" s="478" t="s">
        <v>871</v>
      </c>
      <c r="Y7" s="478"/>
      <c r="Z7" s="478"/>
      <c r="AA7" s="190"/>
      <c r="AB7" s="190"/>
      <c r="AC7" s="190"/>
      <c r="AD7" s="190"/>
      <c r="AE7" s="190"/>
      <c r="AF7" s="190"/>
      <c r="AG7" s="190"/>
      <c r="AH7" s="190"/>
      <c r="AI7" s="8" t="s">
        <v>27</v>
      </c>
      <c r="AL7" s="133"/>
      <c r="AP7" s="35"/>
      <c r="DM7" s="167"/>
      <c r="DN7" s="168"/>
      <c r="DO7" s="35"/>
      <c r="DP7" s="169"/>
      <c r="DQ7" s="170"/>
    </row>
    <row r="8" spans="1:121" ht="27" customHeight="1" x14ac:dyDescent="0.25">
      <c r="A8" s="251">
        <v>2</v>
      </c>
      <c r="B8" s="135"/>
      <c r="C8" s="190" t="s">
        <v>28</v>
      </c>
      <c r="D8" s="190" t="s">
        <v>29</v>
      </c>
      <c r="E8" s="190">
        <v>40</v>
      </c>
      <c r="F8" s="190">
        <v>3</v>
      </c>
      <c r="G8" s="192">
        <f>E8</f>
        <v>40</v>
      </c>
      <c r="H8" s="193">
        <f>(G8*1)/25</f>
        <v>1.6</v>
      </c>
      <c r="I8" s="192">
        <f>(F8*25)-G8</f>
        <v>35</v>
      </c>
      <c r="J8" s="193">
        <f>(I8*1)/25</f>
        <v>1.4</v>
      </c>
      <c r="K8" s="139" t="s">
        <v>30</v>
      </c>
      <c r="L8" s="432">
        <v>15</v>
      </c>
      <c r="M8" s="433">
        <f t="shared" ref="M8:M9" si="0">(L8*$F8)/$E8</f>
        <v>1.125</v>
      </c>
      <c r="N8" s="432"/>
      <c r="O8" s="432"/>
      <c r="P8" s="432"/>
      <c r="Q8" s="451">
        <v>15</v>
      </c>
      <c r="R8" s="452">
        <f>(Q8*$F8)/$E8</f>
        <v>1.125</v>
      </c>
      <c r="S8" s="451">
        <v>10</v>
      </c>
      <c r="T8" s="451"/>
      <c r="U8" s="451"/>
      <c r="V8" s="478">
        <v>10</v>
      </c>
      <c r="W8" s="479">
        <f t="shared" ref="W8:W10" si="1">(V8*$F8)/$E8</f>
        <v>0.75</v>
      </c>
      <c r="X8" s="478" t="s">
        <v>871</v>
      </c>
      <c r="Y8" s="478"/>
      <c r="Z8" s="478"/>
      <c r="AA8" s="190"/>
      <c r="AB8" s="190"/>
      <c r="AC8" s="190"/>
      <c r="AD8" s="190"/>
      <c r="AE8" s="190"/>
      <c r="AF8" s="190"/>
      <c r="AG8" s="190"/>
      <c r="AH8" s="190"/>
      <c r="AL8" s="133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166"/>
      <c r="DM8" s="167"/>
      <c r="DN8" s="168"/>
      <c r="DO8" s="35"/>
      <c r="DP8" s="169"/>
      <c r="DQ8" s="170"/>
    </row>
    <row r="9" spans="1:121" ht="36" customHeight="1" x14ac:dyDescent="0.25">
      <c r="A9" s="251">
        <v>3</v>
      </c>
      <c r="B9" s="135"/>
      <c r="C9" s="190" t="s">
        <v>31</v>
      </c>
      <c r="D9" s="190" t="s">
        <v>32</v>
      </c>
      <c r="E9" s="190">
        <v>40</v>
      </c>
      <c r="F9" s="190">
        <v>3</v>
      </c>
      <c r="G9" s="192">
        <f>E9</f>
        <v>40</v>
      </c>
      <c r="H9" s="193">
        <f>(G9*1)/25</f>
        <v>1.6</v>
      </c>
      <c r="I9" s="192">
        <f>(F9*25)-G9</f>
        <v>35</v>
      </c>
      <c r="J9" s="193">
        <f>(I9*1)/25</f>
        <v>1.4</v>
      </c>
      <c r="K9" s="139" t="s">
        <v>30</v>
      </c>
      <c r="L9" s="432">
        <v>10</v>
      </c>
      <c r="M9" s="433">
        <f t="shared" si="0"/>
        <v>0.75</v>
      </c>
      <c r="N9" s="432"/>
      <c r="O9" s="432"/>
      <c r="P9" s="432"/>
      <c r="Q9" s="451">
        <v>15</v>
      </c>
      <c r="R9" s="452">
        <f t="shared" ref="R9:R10" si="2">(Q9*$F9)/$E9</f>
        <v>1.125</v>
      </c>
      <c r="S9" s="451">
        <v>10</v>
      </c>
      <c r="T9" s="451"/>
      <c r="U9" s="451"/>
      <c r="V9" s="478">
        <v>15</v>
      </c>
      <c r="W9" s="479">
        <f t="shared" si="1"/>
        <v>1.125</v>
      </c>
      <c r="X9" s="478" t="s">
        <v>871</v>
      </c>
      <c r="Y9" s="478"/>
      <c r="Z9" s="478"/>
      <c r="AA9" s="190"/>
      <c r="AB9" s="190"/>
      <c r="AC9" s="190"/>
      <c r="AD9" s="190"/>
      <c r="AE9" s="190"/>
      <c r="AF9" s="190"/>
      <c r="AG9" s="190"/>
      <c r="AH9" s="190"/>
      <c r="AI9" s="35" t="s">
        <v>33</v>
      </c>
      <c r="AL9" s="133"/>
      <c r="BF9" s="35"/>
      <c r="BS9" s="35"/>
      <c r="BY9" s="35"/>
      <c r="CN9" s="35"/>
      <c r="DG9" s="35"/>
      <c r="DM9" s="167"/>
      <c r="DN9" s="168"/>
      <c r="DO9" s="35"/>
      <c r="DP9" s="169"/>
      <c r="DQ9" s="170"/>
    </row>
    <row r="10" spans="1:121" ht="61.15" customHeight="1" x14ac:dyDescent="0.25">
      <c r="A10" s="251">
        <v>4</v>
      </c>
      <c r="B10" s="135"/>
      <c r="C10" s="190" t="s">
        <v>34</v>
      </c>
      <c r="D10" s="190" t="s">
        <v>35</v>
      </c>
      <c r="E10" s="190">
        <v>15</v>
      </c>
      <c r="F10" s="190">
        <v>2</v>
      </c>
      <c r="G10" s="192">
        <f>E10</f>
        <v>15</v>
      </c>
      <c r="H10" s="193">
        <f>(G10*1)/25</f>
        <v>0.6</v>
      </c>
      <c r="I10" s="192">
        <f>(F10*25)-G10</f>
        <v>35</v>
      </c>
      <c r="J10" s="193">
        <f>(I10*1)/25</f>
        <v>1.4</v>
      </c>
      <c r="K10" s="139" t="s">
        <v>26</v>
      </c>
      <c r="L10" s="432"/>
      <c r="M10" s="433"/>
      <c r="N10" s="432"/>
      <c r="O10" s="432"/>
      <c r="P10" s="432"/>
      <c r="Q10" s="451">
        <v>10</v>
      </c>
      <c r="R10" s="452">
        <f t="shared" si="2"/>
        <v>1.3333333333333333</v>
      </c>
      <c r="S10" s="451">
        <v>10</v>
      </c>
      <c r="T10" s="451"/>
      <c r="U10" s="451"/>
      <c r="V10" s="478">
        <v>5</v>
      </c>
      <c r="W10" s="479">
        <f t="shared" si="1"/>
        <v>0.66666666666666663</v>
      </c>
      <c r="X10" s="478">
        <v>10</v>
      </c>
      <c r="Y10" s="478"/>
      <c r="Z10" s="478"/>
      <c r="AA10" s="190"/>
      <c r="AB10" s="190"/>
      <c r="AC10" s="190"/>
      <c r="AD10" s="190"/>
      <c r="AE10" s="190"/>
      <c r="AF10" s="190"/>
      <c r="AG10" s="190"/>
      <c r="AH10" s="190"/>
      <c r="AJ10" s="169" t="s">
        <v>36</v>
      </c>
      <c r="AL10" s="133"/>
      <c r="BF10" s="35"/>
      <c r="BS10" s="35"/>
      <c r="BY10" s="35"/>
      <c r="CN10" s="35"/>
      <c r="DG10" s="35"/>
      <c r="DM10" s="167"/>
      <c r="DN10" s="168"/>
      <c r="DO10" s="35"/>
      <c r="DP10" s="169"/>
      <c r="DQ10" s="170"/>
    </row>
    <row r="11" spans="1:121" ht="18" customHeight="1" x14ac:dyDescent="0.25">
      <c r="A11" s="504" t="s">
        <v>37</v>
      </c>
      <c r="B11" s="505"/>
      <c r="C11" s="505"/>
      <c r="D11" s="506"/>
      <c r="E11" s="190">
        <f>SUM(E7:E10)</f>
        <v>125</v>
      </c>
      <c r="F11" s="190">
        <f t="shared" ref="F11:G11" si="3">SUM(F7:F10)</f>
        <v>10</v>
      </c>
      <c r="G11" s="190">
        <f t="shared" si="3"/>
        <v>125</v>
      </c>
      <c r="H11" s="252">
        <f>SUM(H7:H10)</f>
        <v>5</v>
      </c>
      <c r="I11" s="190">
        <f>SUM(I7:I10)</f>
        <v>125</v>
      </c>
      <c r="J11" s="190">
        <f>SUM(J7:J10)</f>
        <v>5</v>
      </c>
      <c r="K11" s="252"/>
      <c r="L11" s="432">
        <f t="shared" ref="L11:M11" si="4">SUM(L7:L10)</f>
        <v>35</v>
      </c>
      <c r="M11" s="434">
        <f t="shared" si="4"/>
        <v>2.5416666666666665</v>
      </c>
      <c r="N11" s="432"/>
      <c r="O11" s="432"/>
      <c r="P11" s="432"/>
      <c r="Q11" s="451">
        <f t="shared" ref="Q11:R11" si="5">SUM(Q7:Q10)</f>
        <v>40</v>
      </c>
      <c r="R11" s="453">
        <f t="shared" si="5"/>
        <v>3.583333333333333</v>
      </c>
      <c r="S11" s="451"/>
      <c r="T11" s="451"/>
      <c r="U11" s="451"/>
      <c r="V11" s="478">
        <f t="shared" ref="V11:W11" si="6">SUM(V7:V10)</f>
        <v>50</v>
      </c>
      <c r="W11" s="480">
        <f t="shared" si="6"/>
        <v>3.8749999999999996</v>
      </c>
      <c r="X11" s="478"/>
      <c r="Y11" s="478"/>
      <c r="Z11" s="478"/>
      <c r="AA11" s="190"/>
      <c r="AB11" s="190"/>
      <c r="AC11" s="190"/>
      <c r="AD11" s="190"/>
      <c r="AE11" s="190"/>
      <c r="AF11" s="190"/>
      <c r="AG11" s="190"/>
      <c r="AH11" s="190"/>
      <c r="AJ11" s="8" t="s">
        <v>38</v>
      </c>
      <c r="AL11" s="196"/>
      <c r="BC11" s="33"/>
      <c r="BS11" s="35"/>
      <c r="BY11" s="35"/>
      <c r="CN11" s="35"/>
      <c r="DM11" s="167"/>
      <c r="DN11" s="168"/>
      <c r="DO11" s="35"/>
      <c r="DP11" s="169"/>
      <c r="DQ11" s="170"/>
    </row>
    <row r="12" spans="1:121" ht="15" customHeight="1" x14ac:dyDescent="0.25">
      <c r="A12" s="522" t="s">
        <v>39</v>
      </c>
      <c r="B12" s="523"/>
      <c r="C12" s="523"/>
      <c r="D12" s="523"/>
      <c r="E12" s="523"/>
      <c r="F12" s="523"/>
      <c r="G12" s="523"/>
      <c r="H12" s="523"/>
      <c r="I12" s="523"/>
      <c r="J12" s="523"/>
      <c r="K12" s="523"/>
      <c r="L12" s="523"/>
      <c r="M12" s="523"/>
      <c r="N12" s="523"/>
      <c r="O12" s="523"/>
      <c r="P12" s="523"/>
      <c r="Q12" s="523"/>
      <c r="R12" s="523"/>
      <c r="S12" s="523"/>
      <c r="T12" s="523"/>
      <c r="U12" s="523"/>
      <c r="V12" s="523"/>
      <c r="W12" s="523"/>
      <c r="X12" s="523"/>
      <c r="Y12" s="523"/>
      <c r="Z12" s="523"/>
      <c r="AA12" s="523"/>
      <c r="AB12" s="523"/>
      <c r="AC12" s="523"/>
      <c r="AD12" s="523"/>
      <c r="AE12" s="523"/>
      <c r="AF12" s="523"/>
      <c r="AG12" s="523"/>
      <c r="AH12" s="524"/>
      <c r="AJ12" s="8" t="s">
        <v>40</v>
      </c>
      <c r="AL12" s="8"/>
      <c r="BC12" s="33"/>
      <c r="BS12" s="35"/>
      <c r="CN12" s="35"/>
      <c r="DM12" s="167"/>
      <c r="DN12" s="168"/>
      <c r="DO12" s="35"/>
      <c r="DP12" s="169"/>
      <c r="DQ12" s="170"/>
    </row>
    <row r="13" spans="1:121" ht="29.25" customHeight="1" x14ac:dyDescent="0.25">
      <c r="A13" s="251">
        <v>5</v>
      </c>
      <c r="B13" s="143"/>
      <c r="C13" s="190" t="s">
        <v>41</v>
      </c>
      <c r="D13" s="190" t="s">
        <v>42</v>
      </c>
      <c r="E13" s="190">
        <v>50</v>
      </c>
      <c r="F13" s="190">
        <v>4</v>
      </c>
      <c r="G13" s="192">
        <f>E13</f>
        <v>50</v>
      </c>
      <c r="H13" s="193">
        <f>(G13*1)/25</f>
        <v>2</v>
      </c>
      <c r="I13" s="192">
        <f>(F13*25)-G13</f>
        <v>50</v>
      </c>
      <c r="J13" s="193">
        <f>(I13*1)/25</f>
        <v>2</v>
      </c>
      <c r="K13" s="139" t="s">
        <v>43</v>
      </c>
      <c r="L13" s="432">
        <v>15</v>
      </c>
      <c r="M13" s="433">
        <f t="shared" ref="M13:M15" si="7">(L13*$F13)/$E13</f>
        <v>1.2</v>
      </c>
      <c r="N13" s="432"/>
      <c r="O13" s="432"/>
      <c r="P13" s="432"/>
      <c r="Q13" s="451">
        <v>20</v>
      </c>
      <c r="R13" s="452">
        <f t="shared" ref="R13:R15" si="8">(Q13*$F13)/$E13</f>
        <v>1.6</v>
      </c>
      <c r="S13" s="451">
        <v>10</v>
      </c>
      <c r="T13" s="451"/>
      <c r="U13" s="451"/>
      <c r="V13" s="478">
        <v>15</v>
      </c>
      <c r="W13" s="479">
        <f t="shared" ref="W13:W15" si="9">(V13*$F13)/$E13</f>
        <v>1.2</v>
      </c>
      <c r="X13" s="478" t="s">
        <v>871</v>
      </c>
      <c r="Y13" s="478"/>
      <c r="Z13" s="478"/>
      <c r="AA13" s="190"/>
      <c r="AB13" s="190"/>
      <c r="AC13" s="190"/>
      <c r="AD13" s="190"/>
      <c r="AE13" s="190"/>
      <c r="AF13" s="190"/>
      <c r="AG13" s="190"/>
      <c r="AH13" s="190"/>
      <c r="AI13" s="35" t="s">
        <v>33</v>
      </c>
      <c r="AL13" s="133"/>
      <c r="BC13" s="33"/>
      <c r="BX13" s="35"/>
      <c r="CO13" s="35"/>
      <c r="DM13" s="167"/>
      <c r="DN13" s="168"/>
      <c r="DO13" s="35"/>
      <c r="DP13" s="169"/>
      <c r="DQ13" s="170"/>
    </row>
    <row r="14" spans="1:121" ht="45" customHeight="1" x14ac:dyDescent="0.25">
      <c r="A14" s="251">
        <v>7</v>
      </c>
      <c r="B14" s="143"/>
      <c r="C14" s="191" t="s">
        <v>44</v>
      </c>
      <c r="D14" s="190" t="s">
        <v>45</v>
      </c>
      <c r="E14" s="338">
        <v>40</v>
      </c>
      <c r="F14" s="338">
        <v>3</v>
      </c>
      <c r="G14" s="192">
        <f>E14</f>
        <v>40</v>
      </c>
      <c r="H14" s="193">
        <f>(G14*1)/25</f>
        <v>1.6</v>
      </c>
      <c r="I14" s="192">
        <f>(F14*25)-G14</f>
        <v>35</v>
      </c>
      <c r="J14" s="193">
        <f>(I14*1)/25</f>
        <v>1.4</v>
      </c>
      <c r="K14" s="139" t="s">
        <v>26</v>
      </c>
      <c r="L14" s="432">
        <v>10</v>
      </c>
      <c r="M14" s="433">
        <f t="shared" si="7"/>
        <v>0.75</v>
      </c>
      <c r="N14" s="432"/>
      <c r="O14" s="432"/>
      <c r="P14" s="432"/>
      <c r="Q14" s="451">
        <v>20</v>
      </c>
      <c r="R14" s="452">
        <f t="shared" si="8"/>
        <v>1.5</v>
      </c>
      <c r="S14" s="451">
        <v>10</v>
      </c>
      <c r="T14" s="451"/>
      <c r="U14" s="451"/>
      <c r="V14" s="478">
        <v>10</v>
      </c>
      <c r="W14" s="479">
        <f t="shared" si="9"/>
        <v>0.75</v>
      </c>
      <c r="X14" s="478" t="s">
        <v>871</v>
      </c>
      <c r="Y14" s="478"/>
      <c r="Z14" s="478"/>
      <c r="AA14" s="190"/>
      <c r="AB14" s="190"/>
      <c r="AC14" s="190"/>
      <c r="AD14" s="190"/>
      <c r="AE14" s="190"/>
      <c r="AF14" s="190"/>
      <c r="AG14" s="190"/>
      <c r="AH14" s="190"/>
      <c r="AI14" s="336" t="s">
        <v>46</v>
      </c>
      <c r="AJ14" s="8">
        <f>(10/50)*100</f>
        <v>20</v>
      </c>
      <c r="AK14" s="8" t="s">
        <v>47</v>
      </c>
      <c r="AL14" s="133"/>
    </row>
    <row r="15" spans="1:121" ht="37.15" customHeight="1" x14ac:dyDescent="0.25">
      <c r="A15" s="253">
        <v>6</v>
      </c>
      <c r="B15" s="244"/>
      <c r="C15" s="191" t="s">
        <v>48</v>
      </c>
      <c r="D15" s="190" t="s">
        <v>49</v>
      </c>
      <c r="E15" s="339">
        <v>30</v>
      </c>
      <c r="F15" s="339">
        <v>2</v>
      </c>
      <c r="G15" s="192">
        <f>E15</f>
        <v>30</v>
      </c>
      <c r="H15" s="193">
        <f>(G15*1)/25</f>
        <v>1.2</v>
      </c>
      <c r="I15" s="192">
        <f>(F15*25)-G15</f>
        <v>20</v>
      </c>
      <c r="J15" s="193">
        <f>(I15*1)/25</f>
        <v>0.8</v>
      </c>
      <c r="K15" s="139" t="s">
        <v>26</v>
      </c>
      <c r="L15" s="432">
        <v>5</v>
      </c>
      <c r="M15" s="433">
        <f t="shared" si="7"/>
        <v>0.33333333333333331</v>
      </c>
      <c r="N15" s="432"/>
      <c r="O15" s="432"/>
      <c r="P15" s="432" t="s">
        <v>50</v>
      </c>
      <c r="Q15" s="451">
        <v>20</v>
      </c>
      <c r="R15" s="452">
        <f t="shared" si="8"/>
        <v>1.3333333333333333</v>
      </c>
      <c r="S15" s="451">
        <v>10</v>
      </c>
      <c r="T15" s="451"/>
      <c r="U15" s="451"/>
      <c r="V15" s="478">
        <v>5</v>
      </c>
      <c r="W15" s="479">
        <f t="shared" si="9"/>
        <v>0.33333333333333331</v>
      </c>
      <c r="X15" s="478" t="s">
        <v>871</v>
      </c>
      <c r="Y15" s="478"/>
      <c r="Z15" s="478"/>
      <c r="AA15" s="190"/>
      <c r="AB15" s="190"/>
      <c r="AC15" s="190"/>
      <c r="AD15" s="190"/>
      <c r="AE15" s="190"/>
      <c r="AF15" s="190"/>
      <c r="AG15" s="190"/>
      <c r="AH15" s="190"/>
      <c r="AI15" s="336" t="s">
        <v>51</v>
      </c>
      <c r="AJ15" s="8">
        <f>(10/40)*100</f>
        <v>25</v>
      </c>
      <c r="AK15" s="8" t="s">
        <v>47</v>
      </c>
      <c r="AL15" s="133"/>
      <c r="BC15" s="33"/>
      <c r="BD15" s="35"/>
      <c r="DM15" s="167"/>
      <c r="DN15" s="168"/>
      <c r="DO15" s="35"/>
      <c r="DP15" s="169"/>
      <c r="DQ15" s="170"/>
    </row>
    <row r="16" spans="1:121" ht="18" customHeight="1" x14ac:dyDescent="0.25">
      <c r="A16" s="504" t="s">
        <v>52</v>
      </c>
      <c r="B16" s="505"/>
      <c r="C16" s="505"/>
      <c r="D16" s="506"/>
      <c r="E16" s="190">
        <f>SUM(E13:E15)</f>
        <v>120</v>
      </c>
      <c r="F16" s="190">
        <f t="shared" ref="F16:J16" si="10">SUM(F13:F15)</f>
        <v>9</v>
      </c>
      <c r="G16" s="190">
        <f t="shared" si="10"/>
        <v>120</v>
      </c>
      <c r="H16" s="190">
        <f t="shared" si="10"/>
        <v>4.8</v>
      </c>
      <c r="I16" s="190">
        <f t="shared" si="10"/>
        <v>105</v>
      </c>
      <c r="J16" s="190">
        <f t="shared" si="10"/>
        <v>4.2</v>
      </c>
      <c r="K16" s="252"/>
      <c r="L16" s="432">
        <f t="shared" ref="L16:M16" si="11">SUM(L13:L15)</f>
        <v>30</v>
      </c>
      <c r="M16" s="434">
        <f t="shared" si="11"/>
        <v>2.2833333333333332</v>
      </c>
      <c r="N16" s="432"/>
      <c r="O16" s="432"/>
      <c r="P16" s="432"/>
      <c r="Q16" s="451">
        <f t="shared" ref="Q16:R16" si="12">SUM(Q13:Q15)</f>
        <v>60</v>
      </c>
      <c r="R16" s="453">
        <f t="shared" si="12"/>
        <v>4.4333333333333336</v>
      </c>
      <c r="S16" s="451"/>
      <c r="T16" s="451"/>
      <c r="U16" s="451"/>
      <c r="V16" s="478">
        <f>SUM(V13:V15)</f>
        <v>30</v>
      </c>
      <c r="W16" s="480">
        <f t="shared" ref="W16" si="13">SUM(W13:W15)</f>
        <v>2.2833333333333332</v>
      </c>
      <c r="X16" s="478"/>
      <c r="Y16" s="478"/>
      <c r="Z16" s="478"/>
      <c r="AA16" s="190"/>
      <c r="AB16" s="190"/>
      <c r="AC16" s="190"/>
      <c r="AD16" s="190"/>
      <c r="AE16" s="190"/>
      <c r="AF16" s="190"/>
      <c r="AG16" s="190"/>
      <c r="AH16" s="190"/>
      <c r="AL16" s="8"/>
      <c r="BC16" s="33"/>
      <c r="BD16" s="35"/>
      <c r="DM16" s="167"/>
      <c r="DN16" s="168"/>
      <c r="DO16" s="35"/>
      <c r="DP16" s="169"/>
      <c r="DQ16" s="170"/>
    </row>
    <row r="17" spans="1:121" ht="18" customHeight="1" x14ac:dyDescent="0.25">
      <c r="A17" s="522" t="s">
        <v>53</v>
      </c>
      <c r="B17" s="523"/>
      <c r="C17" s="523"/>
      <c r="D17" s="523"/>
      <c r="E17" s="523"/>
      <c r="F17" s="523"/>
      <c r="G17" s="523"/>
      <c r="H17" s="523"/>
      <c r="I17" s="523"/>
      <c r="J17" s="523"/>
      <c r="K17" s="523"/>
      <c r="L17" s="523"/>
      <c r="M17" s="523"/>
      <c r="N17" s="523"/>
      <c r="O17" s="523"/>
      <c r="P17" s="523"/>
      <c r="Q17" s="523"/>
      <c r="R17" s="523"/>
      <c r="S17" s="523"/>
      <c r="T17" s="523"/>
      <c r="U17" s="523"/>
      <c r="V17" s="523"/>
      <c r="W17" s="523"/>
      <c r="X17" s="523"/>
      <c r="Y17" s="523"/>
      <c r="Z17" s="523"/>
      <c r="AA17" s="523"/>
      <c r="AB17" s="523"/>
      <c r="AC17" s="523"/>
      <c r="AD17" s="523"/>
      <c r="AE17" s="523"/>
      <c r="AF17" s="523"/>
      <c r="AG17" s="523"/>
      <c r="AH17" s="524"/>
      <c r="AL17" s="8"/>
      <c r="BC17" s="33"/>
      <c r="BD17" s="35"/>
      <c r="DM17" s="167"/>
      <c r="DN17" s="168"/>
      <c r="DO17" s="35"/>
      <c r="DP17" s="169"/>
      <c r="DQ17" s="170"/>
    </row>
    <row r="18" spans="1:121" ht="66" customHeight="1" x14ac:dyDescent="0.25">
      <c r="A18" s="135">
        <v>12</v>
      </c>
      <c r="B18" s="135"/>
      <c r="C18" s="191" t="s">
        <v>54</v>
      </c>
      <c r="D18" s="191" t="s">
        <v>55</v>
      </c>
      <c r="E18" s="339">
        <v>15</v>
      </c>
      <c r="F18" s="195">
        <v>1</v>
      </c>
      <c r="G18" s="192">
        <f>E18</f>
        <v>15</v>
      </c>
      <c r="H18" s="193">
        <f>(G18*1)/25</f>
        <v>0.6</v>
      </c>
      <c r="I18" s="192">
        <f>(F18*25)-G18</f>
        <v>10</v>
      </c>
      <c r="J18" s="193">
        <f>(I18*1)/25</f>
        <v>0.4</v>
      </c>
      <c r="K18" s="139" t="s">
        <v>43</v>
      </c>
      <c r="L18" s="435">
        <v>5</v>
      </c>
      <c r="M18" s="433">
        <f t="shared" ref="M18:M20" si="14">(L18*$F18)/$E18</f>
        <v>0.33333333333333331</v>
      </c>
      <c r="N18" s="435"/>
      <c r="O18" s="435"/>
      <c r="P18" s="432"/>
      <c r="Q18" s="454"/>
      <c r="R18" s="454"/>
      <c r="S18" s="454"/>
      <c r="T18" s="454"/>
      <c r="U18" s="454"/>
      <c r="V18" s="481">
        <v>10</v>
      </c>
      <c r="W18" s="479">
        <f t="shared" ref="W18:W21" si="15">(V18*$F18)/$E18</f>
        <v>0.66666666666666663</v>
      </c>
      <c r="X18" s="478" t="s">
        <v>871</v>
      </c>
      <c r="Y18" s="481"/>
      <c r="Z18" s="481"/>
      <c r="AA18" s="190"/>
      <c r="AB18" s="190"/>
      <c r="AC18" s="190"/>
      <c r="AD18" s="190"/>
      <c r="AE18" s="190"/>
      <c r="AF18" s="190"/>
      <c r="AG18" s="190"/>
      <c r="AH18" s="190"/>
      <c r="AJ18" s="8" t="s">
        <v>56</v>
      </c>
      <c r="AL18" s="197"/>
      <c r="BC18" s="33"/>
      <c r="DM18" s="167"/>
      <c r="DN18" s="172"/>
      <c r="DQ18" s="170"/>
    </row>
    <row r="19" spans="1:121" ht="42.6" customHeight="1" x14ac:dyDescent="0.25">
      <c r="A19" s="135">
        <v>13</v>
      </c>
      <c r="B19" s="135"/>
      <c r="C19" s="190" t="s">
        <v>57</v>
      </c>
      <c r="D19" s="191" t="s">
        <v>58</v>
      </c>
      <c r="E19" s="195">
        <v>20</v>
      </c>
      <c r="F19" s="195">
        <v>0</v>
      </c>
      <c r="G19" s="192">
        <f>E19</f>
        <v>20</v>
      </c>
      <c r="H19" s="193">
        <v>0</v>
      </c>
      <c r="I19" s="192">
        <v>0</v>
      </c>
      <c r="J19" s="193">
        <f>(I19*1)/25</f>
        <v>0</v>
      </c>
      <c r="K19" s="139" t="s">
        <v>43</v>
      </c>
      <c r="L19" s="432"/>
      <c r="M19" s="432"/>
      <c r="N19" s="432"/>
      <c r="O19" s="432"/>
      <c r="P19" s="432"/>
      <c r="Q19" s="454">
        <v>20</v>
      </c>
      <c r="R19" s="452">
        <f t="shared" ref="R19" si="16">(Q19*$F19)/$E19</f>
        <v>0</v>
      </c>
      <c r="S19" s="451">
        <v>20</v>
      </c>
      <c r="T19" s="451"/>
      <c r="U19" s="451"/>
      <c r="V19" s="481"/>
      <c r="W19" s="478"/>
      <c r="X19" s="478"/>
      <c r="Y19" s="478"/>
      <c r="Z19" s="478"/>
      <c r="AA19" s="190"/>
      <c r="AB19" s="190"/>
      <c r="AC19" s="190"/>
      <c r="AD19" s="190"/>
      <c r="AE19" s="190"/>
      <c r="AF19" s="190"/>
      <c r="AG19" s="190"/>
      <c r="AH19" s="190"/>
      <c r="AI19" s="337"/>
      <c r="AL19" s="197"/>
      <c r="BC19" s="33"/>
      <c r="DQ19" s="170"/>
    </row>
    <row r="20" spans="1:121" ht="44.25" customHeight="1" x14ac:dyDescent="0.25">
      <c r="A20" s="135">
        <v>10</v>
      </c>
      <c r="B20" s="135"/>
      <c r="C20" s="190" t="s">
        <v>59</v>
      </c>
      <c r="D20" s="190" t="s">
        <v>60</v>
      </c>
      <c r="E20" s="190">
        <v>30</v>
      </c>
      <c r="F20" s="190">
        <v>2</v>
      </c>
      <c r="G20" s="192">
        <f>E20</f>
        <v>30</v>
      </c>
      <c r="H20" s="193">
        <f>(G20*1)/25</f>
        <v>1.2</v>
      </c>
      <c r="I20" s="192">
        <f>(F20*25)-G20</f>
        <v>20</v>
      </c>
      <c r="J20" s="193">
        <f>(I20*1)/25</f>
        <v>0.8</v>
      </c>
      <c r="K20" s="139" t="s">
        <v>26</v>
      </c>
      <c r="L20" s="432">
        <v>10</v>
      </c>
      <c r="M20" s="433">
        <f t="shared" si="14"/>
        <v>0.66666666666666663</v>
      </c>
      <c r="N20" s="432"/>
      <c r="O20" s="432"/>
      <c r="P20" s="432" t="s">
        <v>50</v>
      </c>
      <c r="Q20" s="451"/>
      <c r="R20" s="451"/>
      <c r="S20" s="451"/>
      <c r="T20" s="451"/>
      <c r="U20" s="451"/>
      <c r="V20" s="478">
        <v>20</v>
      </c>
      <c r="W20" s="479">
        <f t="shared" si="15"/>
        <v>1.3333333333333333</v>
      </c>
      <c r="X20" s="478" t="s">
        <v>871</v>
      </c>
      <c r="Y20" s="478"/>
      <c r="Z20" s="478" t="s">
        <v>61</v>
      </c>
      <c r="AA20" s="190"/>
      <c r="AB20" s="190"/>
      <c r="AC20" s="190"/>
      <c r="AD20" s="190"/>
      <c r="AE20" s="190"/>
      <c r="AF20" s="190"/>
      <c r="AG20" s="190"/>
      <c r="AH20" s="190"/>
      <c r="AJ20" s="120"/>
      <c r="AL20" s="133"/>
      <c r="BC20" s="33"/>
      <c r="BD20" s="35"/>
      <c r="DM20" s="167"/>
      <c r="DN20" s="168"/>
      <c r="DO20" s="35"/>
      <c r="DQ20" s="170"/>
    </row>
    <row r="21" spans="1:121" ht="40.9" customHeight="1" x14ac:dyDescent="0.25">
      <c r="A21" s="251">
        <v>8</v>
      </c>
      <c r="B21" s="143"/>
      <c r="C21" s="190" t="s">
        <v>62</v>
      </c>
      <c r="D21" s="190" t="s">
        <v>63</v>
      </c>
      <c r="E21" s="195">
        <v>30</v>
      </c>
      <c r="F21" s="339">
        <v>2</v>
      </c>
      <c r="G21" s="192">
        <f>E21</f>
        <v>30</v>
      </c>
      <c r="H21" s="193">
        <f>(G21*1)/25</f>
        <v>1.2</v>
      </c>
      <c r="I21" s="192">
        <f>(F21*25)-G21</f>
        <v>20</v>
      </c>
      <c r="J21" s="193">
        <f>(I21*1)/25</f>
        <v>0.8</v>
      </c>
      <c r="K21" s="139" t="s">
        <v>26</v>
      </c>
      <c r="L21" s="432">
        <v>10</v>
      </c>
      <c r="M21" s="433">
        <f t="shared" ref="M21:M24" si="17">(L21*$F21)/$E21</f>
        <v>0.66666666666666663</v>
      </c>
      <c r="N21" s="432"/>
      <c r="O21" s="432"/>
      <c r="P21" s="432"/>
      <c r="Q21" s="451">
        <v>15</v>
      </c>
      <c r="R21" s="452">
        <f t="shared" ref="R21" si="18">(Q21*$F21)/$E21</f>
        <v>1</v>
      </c>
      <c r="S21" s="451">
        <v>10</v>
      </c>
      <c r="T21" s="451"/>
      <c r="U21" s="451"/>
      <c r="V21" s="478">
        <v>5</v>
      </c>
      <c r="W21" s="479">
        <f t="shared" si="15"/>
        <v>0.33333333333333331</v>
      </c>
      <c r="X21" s="478" t="s">
        <v>871</v>
      </c>
      <c r="Y21" s="478"/>
      <c r="Z21" s="478"/>
      <c r="AA21" s="190"/>
      <c r="AB21" s="190"/>
      <c r="AC21" s="190"/>
      <c r="AD21" s="190"/>
      <c r="AE21" s="190"/>
      <c r="AF21" s="190"/>
      <c r="AG21" s="190"/>
      <c r="AH21" s="190"/>
      <c r="AI21" s="35" t="s">
        <v>33</v>
      </c>
      <c r="AL21" s="133"/>
      <c r="BC21" s="33"/>
      <c r="BD21" s="35"/>
      <c r="DM21" s="167"/>
      <c r="DN21" s="168"/>
      <c r="DO21" s="35"/>
      <c r="DP21" s="169"/>
      <c r="DQ21" s="170"/>
    </row>
    <row r="22" spans="1:121" ht="2.4500000000000002" customHeight="1" x14ac:dyDescent="0.25">
      <c r="A22" s="135"/>
      <c r="B22" s="135"/>
      <c r="C22" s="190"/>
      <c r="D22" s="190"/>
      <c r="E22" s="190"/>
      <c r="F22" s="190"/>
      <c r="G22" s="192"/>
      <c r="H22" s="193"/>
      <c r="I22" s="192"/>
      <c r="J22" s="193"/>
      <c r="K22" s="139"/>
      <c r="L22" s="432"/>
      <c r="M22" s="433"/>
      <c r="N22" s="432"/>
      <c r="O22" s="432"/>
      <c r="P22" s="432"/>
      <c r="Q22" s="451"/>
      <c r="R22" s="451"/>
      <c r="S22" s="451"/>
      <c r="T22" s="451"/>
      <c r="U22" s="451"/>
      <c r="V22" s="478"/>
      <c r="W22" s="478"/>
      <c r="X22" s="478"/>
      <c r="Y22" s="478"/>
      <c r="Z22" s="478"/>
      <c r="AA22" s="190"/>
      <c r="AB22" s="190"/>
      <c r="AC22" s="190"/>
      <c r="AD22" s="190"/>
      <c r="AE22" s="190"/>
      <c r="AF22" s="190"/>
      <c r="AG22" s="190"/>
      <c r="AH22" s="190"/>
      <c r="AI22" s="140"/>
      <c r="AL22" s="133"/>
      <c r="BC22" s="33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P22" s="35"/>
      <c r="DM22" s="167"/>
      <c r="DN22" s="168"/>
      <c r="DO22" s="35"/>
      <c r="DP22" s="169"/>
      <c r="DQ22" s="170"/>
    </row>
    <row r="23" spans="1:121" ht="2.4500000000000002" customHeight="1" x14ac:dyDescent="0.25">
      <c r="A23" s="135"/>
      <c r="B23" s="135"/>
      <c r="C23" s="190"/>
      <c r="D23" s="190"/>
      <c r="E23" s="190"/>
      <c r="F23" s="190"/>
      <c r="G23" s="192"/>
      <c r="H23" s="193"/>
      <c r="I23" s="192"/>
      <c r="J23" s="193"/>
      <c r="K23" s="139"/>
      <c r="L23" s="432"/>
      <c r="M23" s="433"/>
      <c r="N23" s="432"/>
      <c r="O23" s="432"/>
      <c r="P23" s="432"/>
      <c r="Q23" s="451"/>
      <c r="R23" s="451"/>
      <c r="S23" s="451"/>
      <c r="T23" s="451"/>
      <c r="U23" s="451"/>
      <c r="V23" s="478"/>
      <c r="W23" s="479"/>
      <c r="X23" s="478"/>
      <c r="Y23" s="478"/>
      <c r="Z23" s="478"/>
      <c r="AA23" s="190"/>
      <c r="AB23" s="190"/>
      <c r="AC23" s="190"/>
      <c r="AD23" s="190"/>
      <c r="AE23" s="190"/>
      <c r="AF23" s="190"/>
      <c r="AG23" s="190"/>
      <c r="AH23" s="190"/>
      <c r="AJ23" s="120"/>
      <c r="AL23" s="133"/>
      <c r="BC23" s="33"/>
      <c r="BD23" s="35"/>
      <c r="DM23" s="167"/>
      <c r="DN23" s="168"/>
      <c r="DO23" s="35"/>
      <c r="DQ23" s="170"/>
    </row>
    <row r="24" spans="1:121" ht="19.149999999999999" customHeight="1" x14ac:dyDescent="0.25">
      <c r="A24" s="504" t="s">
        <v>64</v>
      </c>
      <c r="B24" s="505"/>
      <c r="C24" s="505"/>
      <c r="D24" s="506"/>
      <c r="E24" s="195">
        <f t="shared" ref="E24:J24" si="19">SUM(E18:E23)</f>
        <v>95</v>
      </c>
      <c r="F24" s="195">
        <f t="shared" si="19"/>
        <v>5</v>
      </c>
      <c r="G24" s="195">
        <f t="shared" si="19"/>
        <v>95</v>
      </c>
      <c r="H24" s="254">
        <f t="shared" si="19"/>
        <v>3</v>
      </c>
      <c r="I24" s="195">
        <f t="shared" si="19"/>
        <v>50</v>
      </c>
      <c r="J24" s="254">
        <f t="shared" si="19"/>
        <v>2</v>
      </c>
      <c r="K24" s="254"/>
      <c r="L24" s="435">
        <f>SUM(L18:L23)</f>
        <v>25</v>
      </c>
      <c r="M24" s="433">
        <f t="shared" si="17"/>
        <v>1.3157894736842106</v>
      </c>
      <c r="N24" s="435"/>
      <c r="O24" s="435"/>
      <c r="P24" s="435"/>
      <c r="Q24" s="454">
        <f>SUM(Q18:Q23)</f>
        <v>35</v>
      </c>
      <c r="R24" s="452">
        <f t="shared" ref="R24" si="20">(Q24*$F24)/$E24</f>
        <v>1.8421052631578947</v>
      </c>
      <c r="S24" s="454"/>
      <c r="T24" s="454"/>
      <c r="U24" s="454"/>
      <c r="V24" s="481">
        <f>SUM(V18:V23)</f>
        <v>35</v>
      </c>
      <c r="W24" s="479">
        <f t="shared" ref="W24" si="21">(V24*$F24)/$E24</f>
        <v>1.8421052631578947</v>
      </c>
      <c r="X24" s="481"/>
      <c r="Y24" s="481"/>
      <c r="Z24" s="481"/>
      <c r="AA24" s="190"/>
      <c r="AB24" s="190"/>
      <c r="AC24" s="190"/>
      <c r="AD24" s="190"/>
      <c r="AE24" s="190"/>
      <c r="AF24" s="190"/>
      <c r="AG24" s="190"/>
      <c r="AH24" s="190"/>
      <c r="AL24" s="8"/>
      <c r="BC24" s="33"/>
      <c r="BD24" s="35"/>
      <c r="BE24" s="35"/>
      <c r="BF24" s="35"/>
      <c r="BG24" s="35"/>
      <c r="BP24" s="35"/>
      <c r="DM24" s="167"/>
      <c r="DN24" s="168"/>
      <c r="DO24" s="35"/>
      <c r="DQ24" s="170"/>
    </row>
    <row r="25" spans="1:121" s="11" customFormat="1" ht="1.9" customHeight="1" x14ac:dyDescent="0.25">
      <c r="A25" s="522"/>
      <c r="B25" s="523"/>
      <c r="C25" s="523"/>
      <c r="D25" s="523"/>
      <c r="E25" s="523"/>
      <c r="F25" s="523"/>
      <c r="G25" s="523"/>
      <c r="H25" s="523"/>
      <c r="I25" s="523"/>
      <c r="J25" s="523"/>
      <c r="K25" s="523"/>
      <c r="L25" s="523"/>
      <c r="M25" s="523"/>
      <c r="N25" s="523"/>
      <c r="O25" s="523"/>
      <c r="P25" s="523"/>
      <c r="Q25" s="523"/>
      <c r="R25" s="523"/>
      <c r="S25" s="523"/>
      <c r="T25" s="523"/>
      <c r="U25" s="523"/>
      <c r="V25" s="523"/>
      <c r="W25" s="523"/>
      <c r="X25" s="523"/>
      <c r="Y25" s="523"/>
      <c r="Z25" s="523"/>
      <c r="AA25" s="523"/>
      <c r="AB25" s="523"/>
      <c r="AC25" s="523"/>
      <c r="AD25" s="523"/>
      <c r="AE25" s="523"/>
      <c r="AF25" s="523"/>
      <c r="AG25" s="523"/>
      <c r="AH25" s="524"/>
      <c r="AL25" s="8"/>
      <c r="AM25" s="8"/>
      <c r="AN25" s="8"/>
      <c r="AO25" s="8"/>
      <c r="AP25" s="8"/>
      <c r="AQ25" s="8"/>
      <c r="AR25" s="8"/>
      <c r="AS25" s="8"/>
      <c r="BC25" s="160"/>
      <c r="DM25" s="167"/>
      <c r="DN25" s="168"/>
      <c r="DO25" s="8"/>
      <c r="DP25" s="8"/>
      <c r="DQ25" s="170"/>
    </row>
    <row r="26" spans="1:121" ht="18" customHeight="1" x14ac:dyDescent="0.25">
      <c r="A26" s="522" t="s">
        <v>65</v>
      </c>
      <c r="B26" s="523"/>
      <c r="C26" s="523"/>
      <c r="D26" s="523"/>
      <c r="E26" s="523"/>
      <c r="F26" s="523"/>
      <c r="G26" s="523"/>
      <c r="H26" s="523"/>
      <c r="I26" s="523"/>
      <c r="J26" s="523"/>
      <c r="K26" s="523"/>
      <c r="L26" s="523"/>
      <c r="M26" s="523"/>
      <c r="N26" s="523"/>
      <c r="O26" s="523"/>
      <c r="P26" s="523"/>
      <c r="Q26" s="523"/>
      <c r="R26" s="523"/>
      <c r="S26" s="523"/>
      <c r="T26" s="523"/>
      <c r="U26" s="523"/>
      <c r="V26" s="523"/>
      <c r="W26" s="523"/>
      <c r="X26" s="523"/>
      <c r="Y26" s="523"/>
      <c r="Z26" s="523"/>
      <c r="AA26" s="523"/>
      <c r="AB26" s="523"/>
      <c r="AC26" s="523"/>
      <c r="AD26" s="523"/>
      <c r="AE26" s="523"/>
      <c r="AF26" s="523"/>
      <c r="AG26" s="523"/>
      <c r="AH26" s="524"/>
      <c r="AJ26" s="340" t="s">
        <v>66</v>
      </c>
      <c r="AL26" s="8"/>
      <c r="BC26" s="33"/>
      <c r="DM26" s="167"/>
      <c r="DN26" s="168"/>
      <c r="DO26" s="35"/>
      <c r="DQ26" s="170"/>
    </row>
    <row r="27" spans="1:121" ht="0.6" customHeight="1" x14ac:dyDescent="0.25">
      <c r="A27" s="135"/>
      <c r="B27" s="135"/>
      <c r="C27" s="190"/>
      <c r="D27" s="191"/>
      <c r="E27" s="195"/>
      <c r="F27" s="195"/>
      <c r="G27" s="192"/>
      <c r="H27" s="193"/>
      <c r="I27" s="192"/>
      <c r="J27" s="193"/>
      <c r="K27" s="139"/>
      <c r="L27" s="435"/>
      <c r="M27" s="435"/>
      <c r="N27" s="435"/>
      <c r="O27" s="435"/>
      <c r="P27" s="432"/>
      <c r="Q27" s="454"/>
      <c r="R27" s="454"/>
      <c r="S27" s="454"/>
      <c r="T27" s="454"/>
      <c r="U27" s="454"/>
      <c r="V27" s="481"/>
      <c r="W27" s="479"/>
      <c r="X27" s="481"/>
      <c r="Y27" s="481"/>
      <c r="Z27" s="481"/>
      <c r="AA27" s="190"/>
      <c r="AB27" s="190"/>
      <c r="AC27" s="190"/>
      <c r="AD27" s="190"/>
      <c r="AE27" s="190"/>
      <c r="AF27" s="190"/>
      <c r="AG27" s="190"/>
      <c r="AH27" s="190"/>
      <c r="AI27" s="140"/>
      <c r="AL27" s="197"/>
      <c r="AN27" s="80"/>
      <c r="BC27" s="33"/>
      <c r="DM27" s="167"/>
      <c r="DN27" s="163"/>
      <c r="DO27" s="35"/>
      <c r="DQ27" s="170"/>
    </row>
    <row r="28" spans="1:121" ht="38.25" x14ac:dyDescent="0.25">
      <c r="A28" s="135">
        <v>9</v>
      </c>
      <c r="B28" s="135"/>
      <c r="C28" s="190" t="s">
        <v>67</v>
      </c>
      <c r="D28" s="190" t="s">
        <v>68</v>
      </c>
      <c r="E28" s="190">
        <v>10</v>
      </c>
      <c r="F28" s="190">
        <v>1</v>
      </c>
      <c r="G28" s="192">
        <f>E28</f>
        <v>10</v>
      </c>
      <c r="H28" s="193">
        <f>(G28*1)/25</f>
        <v>0.4</v>
      </c>
      <c r="I28" s="192">
        <f>(F28*25)-G28</f>
        <v>15</v>
      </c>
      <c r="J28" s="193">
        <f>(I28*1)/25</f>
        <v>0.6</v>
      </c>
      <c r="K28" s="350" t="s">
        <v>43</v>
      </c>
      <c r="L28" s="432">
        <v>10</v>
      </c>
      <c r="M28" s="433">
        <f t="shared" ref="M28" si="22">(L28*$F28)/$E28</f>
        <v>1</v>
      </c>
      <c r="N28" s="432"/>
      <c r="O28" s="432"/>
      <c r="P28" s="432"/>
      <c r="Q28" s="451"/>
      <c r="R28" s="451"/>
      <c r="S28" s="451"/>
      <c r="T28" s="451"/>
      <c r="U28" s="451"/>
      <c r="V28" s="478"/>
      <c r="W28" s="478"/>
      <c r="X28" s="478"/>
      <c r="Y28" s="478"/>
      <c r="Z28" s="478"/>
      <c r="AA28" s="190"/>
      <c r="AB28" s="190"/>
      <c r="AC28" s="190"/>
      <c r="AD28" s="190"/>
      <c r="AE28" s="190"/>
      <c r="AF28" s="190"/>
      <c r="AG28" s="190"/>
      <c r="AH28" s="190"/>
      <c r="AI28" s="140"/>
      <c r="AL28" s="133"/>
      <c r="BC28" s="33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P28" s="35"/>
      <c r="DM28" s="167"/>
      <c r="DN28" s="168"/>
      <c r="DO28" s="35"/>
      <c r="DP28" s="169"/>
      <c r="DQ28" s="170"/>
    </row>
    <row r="29" spans="1:121" ht="44.45" customHeight="1" x14ac:dyDescent="0.25">
      <c r="A29" s="135">
        <v>11</v>
      </c>
      <c r="B29" s="135"/>
      <c r="C29" s="190" t="s">
        <v>69</v>
      </c>
      <c r="D29" s="191" t="s">
        <v>70</v>
      </c>
      <c r="E29" s="339">
        <v>20</v>
      </c>
      <c r="F29" s="339">
        <v>1</v>
      </c>
      <c r="G29" s="192">
        <f>E29</f>
        <v>20</v>
      </c>
      <c r="H29" s="193">
        <f>(G29*1)/25</f>
        <v>0.8</v>
      </c>
      <c r="I29" s="192">
        <f>(F29*25)-G29</f>
        <v>5</v>
      </c>
      <c r="J29" s="193">
        <f>(I29*1)/25</f>
        <v>0.2</v>
      </c>
      <c r="K29" s="139" t="s">
        <v>43</v>
      </c>
      <c r="L29" s="435"/>
      <c r="M29" s="435"/>
      <c r="N29" s="435"/>
      <c r="O29" s="435"/>
      <c r="P29" s="432"/>
      <c r="Q29" s="454"/>
      <c r="R29" s="454"/>
      <c r="S29" s="454"/>
      <c r="T29" s="454"/>
      <c r="U29" s="454"/>
      <c r="V29" s="481">
        <v>20</v>
      </c>
      <c r="W29" s="479">
        <f t="shared" ref="W29" si="23">(V29*$F29)/$E29</f>
        <v>1</v>
      </c>
      <c r="X29" s="478" t="s">
        <v>871</v>
      </c>
      <c r="Y29" s="481"/>
      <c r="Z29" s="481"/>
      <c r="AA29" s="190"/>
      <c r="AB29" s="190"/>
      <c r="AC29" s="190"/>
      <c r="AD29" s="190"/>
      <c r="AE29" s="190"/>
      <c r="AF29" s="190"/>
      <c r="AG29" s="190"/>
      <c r="AH29" s="190"/>
      <c r="AI29" s="140"/>
      <c r="AL29" s="197"/>
      <c r="AN29" s="80"/>
      <c r="BC29" s="33"/>
      <c r="DM29" s="167"/>
      <c r="DN29" s="163"/>
      <c r="DO29" s="35"/>
      <c r="DQ29" s="170"/>
    </row>
    <row r="30" spans="1:121" ht="18" customHeight="1" x14ac:dyDescent="0.25">
      <c r="A30" s="504" t="s">
        <v>71</v>
      </c>
      <c r="B30" s="505"/>
      <c r="C30" s="505"/>
      <c r="D30" s="506"/>
      <c r="E30" s="195">
        <f>SUM(E28:E29)</f>
        <v>30</v>
      </c>
      <c r="F30" s="195">
        <f t="shared" ref="F30:J30" si="24">SUM(F28:F29)</f>
        <v>2</v>
      </c>
      <c r="G30" s="195">
        <f t="shared" si="24"/>
        <v>30</v>
      </c>
      <c r="H30" s="254">
        <f t="shared" si="24"/>
        <v>1.2000000000000002</v>
      </c>
      <c r="I30" s="195">
        <f t="shared" si="24"/>
        <v>20</v>
      </c>
      <c r="J30" s="254">
        <f t="shared" si="24"/>
        <v>0.8</v>
      </c>
      <c r="K30" s="254"/>
      <c r="L30" s="435">
        <f t="shared" ref="L30:M30" si="25">SUM(L28:L29)</f>
        <v>10</v>
      </c>
      <c r="M30" s="436">
        <f t="shared" si="25"/>
        <v>1</v>
      </c>
      <c r="N30" s="435"/>
      <c r="O30" s="435"/>
      <c r="P30" s="435"/>
      <c r="Q30" s="454">
        <f t="shared" ref="Q30:R30" si="26">SUM(Q28:Q29)</f>
        <v>0</v>
      </c>
      <c r="R30" s="455">
        <f t="shared" si="26"/>
        <v>0</v>
      </c>
      <c r="S30" s="454"/>
      <c r="T30" s="454"/>
      <c r="U30" s="454"/>
      <c r="V30" s="481">
        <f t="shared" ref="V30:W30" si="27">SUM(V28:V29)</f>
        <v>20</v>
      </c>
      <c r="W30" s="482">
        <f t="shared" si="27"/>
        <v>1</v>
      </c>
      <c r="X30" s="481"/>
      <c r="Y30" s="481"/>
      <c r="Z30" s="481"/>
      <c r="AA30" s="190"/>
      <c r="AB30" s="190"/>
      <c r="AC30" s="190"/>
      <c r="AD30" s="190"/>
      <c r="AE30" s="190"/>
      <c r="AF30" s="190"/>
      <c r="AG30" s="190"/>
      <c r="AH30" s="190"/>
      <c r="AL30" s="8"/>
      <c r="DQ30" s="170"/>
    </row>
    <row r="31" spans="1:121" ht="19.899999999999999" customHeight="1" x14ac:dyDescent="0.25">
      <c r="A31" s="522" t="s">
        <v>72</v>
      </c>
      <c r="B31" s="523"/>
      <c r="C31" s="523"/>
      <c r="D31" s="523"/>
      <c r="E31" s="523"/>
      <c r="F31" s="523"/>
      <c r="G31" s="523"/>
      <c r="H31" s="523"/>
      <c r="I31" s="523"/>
      <c r="J31" s="523"/>
      <c r="K31" s="523"/>
      <c r="L31" s="523"/>
      <c r="M31" s="523"/>
      <c r="N31" s="523"/>
      <c r="O31" s="523"/>
      <c r="P31" s="523"/>
      <c r="Q31" s="523"/>
      <c r="R31" s="523"/>
      <c r="S31" s="523"/>
      <c r="T31" s="523"/>
      <c r="U31" s="523"/>
      <c r="V31" s="523"/>
      <c r="W31" s="523"/>
      <c r="X31" s="523"/>
      <c r="Y31" s="523"/>
      <c r="Z31" s="523"/>
      <c r="AA31" s="523"/>
      <c r="AB31" s="523"/>
      <c r="AC31" s="523"/>
      <c r="AD31" s="523"/>
      <c r="AE31" s="523"/>
      <c r="AF31" s="523"/>
      <c r="AG31" s="524"/>
      <c r="AH31" s="190"/>
      <c r="AL31" s="8"/>
    </row>
    <row r="32" spans="1:121" ht="34.15" customHeight="1" x14ac:dyDescent="0.25">
      <c r="A32" s="135"/>
      <c r="B32" s="135"/>
      <c r="C32" s="546" t="s">
        <v>73</v>
      </c>
      <c r="D32" s="547"/>
      <c r="E32" s="342">
        <v>60</v>
      </c>
      <c r="F32" s="342">
        <v>4</v>
      </c>
      <c r="G32" s="333">
        <f>E32</f>
        <v>60</v>
      </c>
      <c r="H32" s="334">
        <f>(G32*1)/25</f>
        <v>2.4</v>
      </c>
      <c r="I32" s="333">
        <f>(F32*25)-G32</f>
        <v>40</v>
      </c>
      <c r="J32" s="334">
        <f>(I32*1)/25</f>
        <v>1.6</v>
      </c>
      <c r="K32" s="335" t="s">
        <v>43</v>
      </c>
      <c r="L32" s="435"/>
      <c r="M32" s="435"/>
      <c r="N32" s="435"/>
      <c r="O32" s="435"/>
      <c r="P32" s="435"/>
      <c r="Q32" s="451">
        <v>0</v>
      </c>
      <c r="R32" s="452">
        <f t="shared" ref="R32" si="28">(Q32*$F32)/$E32</f>
        <v>0</v>
      </c>
      <c r="S32" s="454"/>
      <c r="T32" s="454"/>
      <c r="U32" s="454"/>
      <c r="V32" s="478">
        <f>E32</f>
        <v>60</v>
      </c>
      <c r="W32" s="479">
        <f t="shared" ref="W32" si="29">(V32*$F32)/$E32</f>
        <v>4</v>
      </c>
      <c r="X32" s="478" t="s">
        <v>871</v>
      </c>
      <c r="Y32" s="481"/>
      <c r="Z32" s="481"/>
      <c r="AA32" s="332"/>
      <c r="AB32" s="332"/>
      <c r="AC32" s="332"/>
      <c r="AD32" s="332"/>
      <c r="AE32" s="332"/>
      <c r="AF32" s="332"/>
      <c r="AG32" s="332"/>
      <c r="AH32" s="332"/>
      <c r="AI32" s="8">
        <f>15*4</f>
        <v>60</v>
      </c>
      <c r="AL32" s="197"/>
      <c r="DQ32" s="170"/>
    </row>
    <row r="33" spans="1:121" ht="21" customHeight="1" x14ac:dyDescent="0.25">
      <c r="A33" s="501" t="s">
        <v>74</v>
      </c>
      <c r="B33" s="502"/>
      <c r="C33" s="502"/>
      <c r="D33" s="503"/>
      <c r="E33" s="195">
        <f t="shared" ref="E33:J33" si="30">SUM(E18,E19,E32)</f>
        <v>95</v>
      </c>
      <c r="F33" s="195">
        <f t="shared" si="30"/>
        <v>5</v>
      </c>
      <c r="G33" s="195">
        <f t="shared" si="30"/>
        <v>95</v>
      </c>
      <c r="H33" s="254">
        <f t="shared" si="30"/>
        <v>3</v>
      </c>
      <c r="I33" s="195">
        <f t="shared" si="30"/>
        <v>50</v>
      </c>
      <c r="J33" s="254">
        <f t="shared" si="30"/>
        <v>2</v>
      </c>
      <c r="K33" s="254"/>
      <c r="L33" s="435">
        <f>SUM(L18,L19,L32)</f>
        <v>5</v>
      </c>
      <c r="M33" s="436">
        <f>SUM(M18,M19,M32)</f>
        <v>0.33333333333333331</v>
      </c>
      <c r="N33" s="435"/>
      <c r="O33" s="435"/>
      <c r="P33" s="435"/>
      <c r="Q33" s="454">
        <f>SUM(Q18,Q19,Q32)</f>
        <v>20</v>
      </c>
      <c r="R33" s="455">
        <f>SUM(R18,R19,R32)</f>
        <v>0</v>
      </c>
      <c r="S33" s="454"/>
      <c r="T33" s="454"/>
      <c r="U33" s="454"/>
      <c r="V33" s="481">
        <f>SUM(V18,V19,V32)</f>
        <v>70</v>
      </c>
      <c r="W33" s="482">
        <f>SUM(W18,W19,W32)</f>
        <v>4.666666666666667</v>
      </c>
      <c r="X33" s="481"/>
      <c r="Y33" s="481"/>
      <c r="Z33" s="481"/>
      <c r="AA33" s="190"/>
      <c r="AB33" s="190"/>
      <c r="AC33" s="190"/>
      <c r="AD33" s="190"/>
      <c r="AE33" s="190"/>
      <c r="AF33" s="190"/>
      <c r="AG33" s="190"/>
      <c r="AH33" s="190"/>
      <c r="AL33" s="8"/>
      <c r="DQ33" s="170"/>
    </row>
    <row r="34" spans="1:121" ht="24" customHeight="1" x14ac:dyDescent="0.25">
      <c r="A34" s="504" t="s">
        <v>75</v>
      </c>
      <c r="B34" s="505"/>
      <c r="C34" s="505"/>
      <c r="D34" s="506"/>
      <c r="E34" s="190">
        <f t="shared" ref="E34:J34" si="31">SUM(E11,E16,E24,E30,E32)</f>
        <v>430</v>
      </c>
      <c r="F34" s="190">
        <f t="shared" si="31"/>
        <v>30</v>
      </c>
      <c r="G34" s="190">
        <f t="shared" si="31"/>
        <v>430</v>
      </c>
      <c r="H34" s="190">
        <f t="shared" si="31"/>
        <v>16.399999999999999</v>
      </c>
      <c r="I34" s="190">
        <f t="shared" si="31"/>
        <v>340</v>
      </c>
      <c r="J34" s="190">
        <f t="shared" si="31"/>
        <v>13.6</v>
      </c>
      <c r="K34" s="252"/>
      <c r="L34" s="432">
        <f>SUM(L11,L16,L24,L30,L32)</f>
        <v>100</v>
      </c>
      <c r="M34" s="434">
        <f>SUM(M11,M16,M24,M30,M32)</f>
        <v>7.1407894736842099</v>
      </c>
      <c r="N34" s="432"/>
      <c r="O34" s="432"/>
      <c r="P34" s="432"/>
      <c r="Q34" s="451">
        <f>SUM(Q11,Q16,Q24,Q30,Q32)</f>
        <v>135</v>
      </c>
      <c r="R34" s="453">
        <f>SUM(R11,R16,R24,R30,R32)</f>
        <v>9.8587719298245595</v>
      </c>
      <c r="S34" s="451"/>
      <c r="T34" s="451"/>
      <c r="U34" s="451"/>
      <c r="V34" s="478">
        <f>SUM(V11,V16,V24,V30,V32)</f>
        <v>195</v>
      </c>
      <c r="W34" s="480">
        <f>SUM(W11,W16,W24,W30,W32)</f>
        <v>13.000438596491229</v>
      </c>
      <c r="X34" s="478"/>
      <c r="Y34" s="478"/>
      <c r="Z34" s="478"/>
      <c r="AA34" s="190"/>
      <c r="AB34" s="190"/>
      <c r="AC34" s="190"/>
      <c r="AD34" s="190"/>
      <c r="AE34" s="190"/>
      <c r="AF34" s="190"/>
      <c r="AG34" s="190"/>
      <c r="AH34" s="190"/>
      <c r="AL34" s="8"/>
      <c r="DQ34" s="170"/>
    </row>
    <row r="35" spans="1:121" ht="19.899999999999999" customHeight="1" x14ac:dyDescent="0.25">
      <c r="A35" s="507" t="s">
        <v>76</v>
      </c>
      <c r="B35" s="508"/>
      <c r="C35" s="508"/>
      <c r="D35" s="508"/>
      <c r="E35" s="508"/>
      <c r="F35" s="508"/>
      <c r="G35" s="508"/>
      <c r="H35" s="508"/>
      <c r="I35" s="508"/>
      <c r="J35" s="508"/>
      <c r="K35" s="508"/>
      <c r="L35" s="508"/>
      <c r="M35" s="508"/>
      <c r="N35" s="508"/>
      <c r="O35" s="508"/>
      <c r="P35" s="508"/>
      <c r="Q35" s="508"/>
      <c r="R35" s="508"/>
      <c r="S35" s="508"/>
      <c r="T35" s="508"/>
      <c r="U35" s="508"/>
      <c r="V35" s="508"/>
      <c r="W35" s="508"/>
      <c r="X35" s="508"/>
      <c r="Y35" s="508"/>
      <c r="Z35" s="508"/>
      <c r="AA35" s="508"/>
      <c r="AB35" s="508"/>
      <c r="AC35" s="508"/>
      <c r="AD35" s="508"/>
      <c r="AE35" s="508"/>
      <c r="AF35" s="508"/>
      <c r="AG35" s="508"/>
      <c r="AH35" s="509"/>
      <c r="AL35" s="8"/>
      <c r="DP35" s="80"/>
      <c r="DQ35" s="170"/>
    </row>
    <row r="36" spans="1:121" ht="21.75" customHeight="1" x14ac:dyDescent="0.25">
      <c r="A36" s="513" t="s">
        <v>2</v>
      </c>
      <c r="B36" s="247"/>
      <c r="C36" s="513" t="s">
        <v>3</v>
      </c>
      <c r="D36" s="513" t="s">
        <v>4</v>
      </c>
      <c r="E36" s="504" t="s">
        <v>5</v>
      </c>
      <c r="F36" s="506"/>
      <c r="G36" s="522" t="s">
        <v>77</v>
      </c>
      <c r="H36" s="523"/>
      <c r="I36" s="523"/>
      <c r="J36" s="523"/>
      <c r="K36" s="523"/>
      <c r="L36" s="523"/>
      <c r="M36" s="523"/>
      <c r="N36" s="523"/>
      <c r="O36" s="523"/>
      <c r="P36" s="523"/>
      <c r="Q36" s="523"/>
      <c r="R36" s="523"/>
      <c r="S36" s="523"/>
      <c r="T36" s="523"/>
      <c r="U36" s="523"/>
      <c r="V36" s="523"/>
      <c r="W36" s="523"/>
      <c r="X36" s="523"/>
      <c r="Y36" s="523"/>
      <c r="Z36" s="523"/>
      <c r="AA36" s="523"/>
      <c r="AB36" s="523"/>
      <c r="AC36" s="523"/>
      <c r="AD36" s="523"/>
      <c r="AE36" s="523"/>
      <c r="AF36" s="523"/>
      <c r="AG36" s="523"/>
      <c r="AH36" s="524"/>
      <c r="AL36" s="500"/>
      <c r="DQ36" s="173"/>
    </row>
    <row r="37" spans="1:121" ht="21.75" customHeight="1" x14ac:dyDescent="0.25">
      <c r="A37" s="514"/>
      <c r="B37" s="248"/>
      <c r="C37" s="514"/>
      <c r="D37" s="514"/>
      <c r="E37" s="516" t="s">
        <v>78</v>
      </c>
      <c r="F37" s="516" t="s">
        <v>8</v>
      </c>
      <c r="G37" s="516" t="s">
        <v>9</v>
      </c>
      <c r="H37" s="519" t="s">
        <v>8</v>
      </c>
      <c r="I37" s="516" t="s">
        <v>10</v>
      </c>
      <c r="J37" s="519" t="s">
        <v>8</v>
      </c>
      <c r="K37" s="519" t="s">
        <v>11</v>
      </c>
      <c r="L37" s="522" t="s">
        <v>12</v>
      </c>
      <c r="M37" s="523"/>
      <c r="N37" s="523"/>
      <c r="O37" s="523"/>
      <c r="P37" s="523"/>
      <c r="Q37" s="523"/>
      <c r="R37" s="523"/>
      <c r="S37" s="523"/>
      <c r="T37" s="523"/>
      <c r="U37" s="523"/>
      <c r="V37" s="523"/>
      <c r="W37" s="523"/>
      <c r="X37" s="523"/>
      <c r="Y37" s="523"/>
      <c r="Z37" s="524"/>
      <c r="AA37" s="522" t="s">
        <v>13</v>
      </c>
      <c r="AB37" s="523"/>
      <c r="AC37" s="523"/>
      <c r="AD37" s="523"/>
      <c r="AE37" s="523"/>
      <c r="AF37" s="523"/>
      <c r="AG37" s="523"/>
      <c r="AH37" s="524"/>
      <c r="AL37" s="500"/>
      <c r="DQ37" s="174"/>
    </row>
    <row r="38" spans="1:121" ht="42" customHeight="1" x14ac:dyDescent="0.25">
      <c r="A38" s="514"/>
      <c r="B38" s="248"/>
      <c r="C38" s="514"/>
      <c r="D38" s="514"/>
      <c r="E38" s="517"/>
      <c r="F38" s="517"/>
      <c r="G38" s="517"/>
      <c r="H38" s="520"/>
      <c r="I38" s="517"/>
      <c r="J38" s="520"/>
      <c r="K38" s="520"/>
      <c r="L38" s="554" t="s">
        <v>79</v>
      </c>
      <c r="M38" s="555"/>
      <c r="N38" s="555"/>
      <c r="O38" s="555"/>
      <c r="P38" s="556"/>
      <c r="Q38" s="551" t="s">
        <v>80</v>
      </c>
      <c r="R38" s="552"/>
      <c r="S38" s="552"/>
      <c r="T38" s="552"/>
      <c r="U38" s="553"/>
      <c r="V38" s="548" t="s">
        <v>81</v>
      </c>
      <c r="W38" s="549"/>
      <c r="X38" s="549"/>
      <c r="Y38" s="549"/>
      <c r="Z38" s="550"/>
      <c r="AA38" s="522" t="s">
        <v>17</v>
      </c>
      <c r="AB38" s="523"/>
      <c r="AC38" s="523"/>
      <c r="AD38" s="524"/>
      <c r="AE38" s="522" t="s">
        <v>18</v>
      </c>
      <c r="AF38" s="523"/>
      <c r="AG38" s="523"/>
      <c r="AH38" s="524"/>
      <c r="AL38" s="500"/>
    </row>
    <row r="39" spans="1:121" ht="45" customHeight="1" x14ac:dyDescent="0.25">
      <c r="A39" s="515"/>
      <c r="B39" s="249"/>
      <c r="C39" s="515"/>
      <c r="D39" s="515"/>
      <c r="E39" s="518"/>
      <c r="F39" s="518"/>
      <c r="G39" s="518"/>
      <c r="H39" s="521"/>
      <c r="I39" s="518"/>
      <c r="J39" s="521"/>
      <c r="K39" s="521"/>
      <c r="L39" s="430" t="s">
        <v>19</v>
      </c>
      <c r="M39" s="431" t="s">
        <v>8</v>
      </c>
      <c r="N39" s="431" t="s">
        <v>20</v>
      </c>
      <c r="O39" s="430" t="s">
        <v>21</v>
      </c>
      <c r="P39" s="430" t="s">
        <v>22</v>
      </c>
      <c r="Q39" s="449" t="s">
        <v>19</v>
      </c>
      <c r="R39" s="450" t="s">
        <v>8</v>
      </c>
      <c r="S39" s="450" t="s">
        <v>20</v>
      </c>
      <c r="T39" s="449" t="s">
        <v>21</v>
      </c>
      <c r="U39" s="449" t="s">
        <v>22</v>
      </c>
      <c r="V39" s="476" t="s">
        <v>19</v>
      </c>
      <c r="W39" s="477" t="s">
        <v>8</v>
      </c>
      <c r="X39" s="477" t="s">
        <v>20</v>
      </c>
      <c r="Y39" s="476" t="s">
        <v>21</v>
      </c>
      <c r="Z39" s="476" t="s">
        <v>22</v>
      </c>
      <c r="AA39" s="135" t="s">
        <v>19</v>
      </c>
      <c r="AB39" s="250" t="s">
        <v>8</v>
      </c>
      <c r="AC39" s="250" t="s">
        <v>20</v>
      </c>
      <c r="AD39" s="135" t="s">
        <v>21</v>
      </c>
      <c r="AE39" s="135" t="s">
        <v>19</v>
      </c>
      <c r="AF39" s="250" t="s">
        <v>8</v>
      </c>
      <c r="AG39" s="250" t="s">
        <v>20</v>
      </c>
      <c r="AH39" s="135" t="s">
        <v>21</v>
      </c>
      <c r="AL39" s="500"/>
    </row>
    <row r="40" spans="1:121" ht="15" customHeight="1" x14ac:dyDescent="0.25">
      <c r="A40" s="522" t="s">
        <v>23</v>
      </c>
      <c r="B40" s="523"/>
      <c r="C40" s="523"/>
      <c r="D40" s="523"/>
      <c r="E40" s="523"/>
      <c r="F40" s="523"/>
      <c r="G40" s="523"/>
      <c r="H40" s="523"/>
      <c r="I40" s="523"/>
      <c r="J40" s="523"/>
      <c r="K40" s="523"/>
      <c r="L40" s="523"/>
      <c r="M40" s="523"/>
      <c r="N40" s="523"/>
      <c r="O40" s="523"/>
      <c r="P40" s="523"/>
      <c r="Q40" s="523"/>
      <c r="R40" s="523"/>
      <c r="S40" s="523"/>
      <c r="T40" s="523"/>
      <c r="U40" s="523"/>
      <c r="V40" s="523"/>
      <c r="W40" s="523"/>
      <c r="X40" s="523"/>
      <c r="Y40" s="523"/>
      <c r="Z40" s="523"/>
      <c r="AA40" s="523"/>
      <c r="AB40" s="523"/>
      <c r="AC40" s="523"/>
      <c r="AD40" s="523"/>
      <c r="AE40" s="523"/>
      <c r="AF40" s="523"/>
      <c r="AG40" s="523"/>
      <c r="AH40" s="524"/>
      <c r="AL40" s="8"/>
    </row>
    <row r="41" spans="1:121" ht="39.75" customHeight="1" x14ac:dyDescent="0.25">
      <c r="A41" s="251">
        <v>1</v>
      </c>
      <c r="B41" s="135"/>
      <c r="C41" s="190" t="s">
        <v>82</v>
      </c>
      <c r="D41" s="190" t="s">
        <v>83</v>
      </c>
      <c r="E41" s="190">
        <v>50</v>
      </c>
      <c r="F41" s="190">
        <v>4</v>
      </c>
      <c r="G41" s="192">
        <f>E41</f>
        <v>50</v>
      </c>
      <c r="H41" s="193">
        <f>(G41*1)/25</f>
        <v>2</v>
      </c>
      <c r="I41" s="192">
        <f>(F41*25)-G41</f>
        <v>50</v>
      </c>
      <c r="J41" s="193">
        <f>(I41*1)/25</f>
        <v>2</v>
      </c>
      <c r="K41" s="139" t="s">
        <v>30</v>
      </c>
      <c r="L41" s="432">
        <v>15</v>
      </c>
      <c r="M41" s="433">
        <f t="shared" ref="M41:M45" si="32">(L41*$F41)/$E41</f>
        <v>1.2</v>
      </c>
      <c r="N41" s="432"/>
      <c r="O41" s="432"/>
      <c r="P41" s="432"/>
      <c r="Q41" s="451">
        <v>20</v>
      </c>
      <c r="R41" s="452">
        <f t="shared" ref="R41:R45" si="33">(Q41*$F41)/$E41</f>
        <v>1.6</v>
      </c>
      <c r="S41" s="451">
        <v>10</v>
      </c>
      <c r="T41" s="451"/>
      <c r="U41" s="451"/>
      <c r="V41" s="478">
        <v>15</v>
      </c>
      <c r="W41" s="479">
        <f t="shared" ref="W41:W45" si="34">(V41*$F41)/$E41</f>
        <v>1.2</v>
      </c>
      <c r="X41" s="478">
        <v>20</v>
      </c>
      <c r="Y41" s="478"/>
      <c r="Z41" s="478"/>
      <c r="AA41" s="190"/>
      <c r="AB41" s="190"/>
      <c r="AC41" s="190"/>
      <c r="AD41" s="190"/>
      <c r="AE41" s="190"/>
      <c r="AF41" s="190"/>
      <c r="AG41" s="190"/>
      <c r="AH41" s="190"/>
      <c r="AI41" s="35" t="s">
        <v>33</v>
      </c>
      <c r="AJ41" s="419"/>
    </row>
    <row r="42" spans="1:121" ht="39.75" customHeight="1" x14ac:dyDescent="0.25">
      <c r="A42" s="251">
        <v>2</v>
      </c>
      <c r="B42" s="135"/>
      <c r="C42" s="190" t="s">
        <v>84</v>
      </c>
      <c r="D42" s="190" t="s">
        <v>85</v>
      </c>
      <c r="E42" s="190">
        <v>40</v>
      </c>
      <c r="F42" s="190">
        <v>3</v>
      </c>
      <c r="G42" s="192">
        <f>E42</f>
        <v>40</v>
      </c>
      <c r="H42" s="193">
        <f t="shared" ref="H42" si="35">(G42*1)/25</f>
        <v>1.6</v>
      </c>
      <c r="I42" s="192">
        <f>(F42*25)-G42</f>
        <v>35</v>
      </c>
      <c r="J42" s="193">
        <f t="shared" ref="J42" si="36">(I42*1)/25</f>
        <v>1.4</v>
      </c>
      <c r="K42" s="139" t="s">
        <v>26</v>
      </c>
      <c r="L42" s="432">
        <v>10</v>
      </c>
      <c r="M42" s="433">
        <f t="shared" si="32"/>
        <v>0.75</v>
      </c>
      <c r="N42" s="432"/>
      <c r="O42" s="432"/>
      <c r="P42" s="432"/>
      <c r="Q42" s="451">
        <v>10</v>
      </c>
      <c r="R42" s="452">
        <f t="shared" si="33"/>
        <v>0.75</v>
      </c>
      <c r="S42" s="451">
        <v>10</v>
      </c>
      <c r="T42" s="451"/>
      <c r="U42" s="451"/>
      <c r="V42" s="478">
        <v>20</v>
      </c>
      <c r="W42" s="479">
        <f t="shared" si="34"/>
        <v>1.5</v>
      </c>
      <c r="X42" s="478" t="s">
        <v>871</v>
      </c>
      <c r="Y42" s="478"/>
      <c r="Z42" s="478"/>
      <c r="AA42" s="190"/>
      <c r="AB42" s="190"/>
      <c r="AC42" s="190"/>
      <c r="AD42" s="190"/>
      <c r="AE42" s="190"/>
      <c r="AF42" s="190"/>
      <c r="AG42" s="190"/>
      <c r="AH42" s="190"/>
      <c r="AI42" s="35" t="s">
        <v>86</v>
      </c>
      <c r="AJ42" s="419"/>
      <c r="AL42" s="133"/>
    </row>
    <row r="43" spans="1:121" ht="39.75" customHeight="1" x14ac:dyDescent="0.25">
      <c r="A43" s="251">
        <v>3</v>
      </c>
      <c r="B43" s="135"/>
      <c r="C43" s="191" t="s">
        <v>87</v>
      </c>
      <c r="D43" s="190" t="s">
        <v>88</v>
      </c>
      <c r="E43" s="190">
        <v>40</v>
      </c>
      <c r="F43" s="190">
        <v>3</v>
      </c>
      <c r="G43" s="192">
        <f>E43</f>
        <v>40</v>
      </c>
      <c r="H43" s="193">
        <f>(G43*1)/25</f>
        <v>1.6</v>
      </c>
      <c r="I43" s="192">
        <f>(F43*25)-G43</f>
        <v>35</v>
      </c>
      <c r="J43" s="193">
        <f>(I43*1)/25</f>
        <v>1.4</v>
      </c>
      <c r="K43" s="139" t="s">
        <v>26</v>
      </c>
      <c r="L43" s="432">
        <v>10</v>
      </c>
      <c r="M43" s="433">
        <f t="shared" si="32"/>
        <v>0.75</v>
      </c>
      <c r="N43" s="432"/>
      <c r="O43" s="432"/>
      <c r="P43" s="432"/>
      <c r="Q43" s="451">
        <v>10</v>
      </c>
      <c r="R43" s="452">
        <f t="shared" si="33"/>
        <v>0.75</v>
      </c>
      <c r="S43" s="451">
        <v>10</v>
      </c>
      <c r="T43" s="451"/>
      <c r="U43" s="451"/>
      <c r="V43" s="478">
        <v>20</v>
      </c>
      <c r="W43" s="479">
        <f t="shared" si="34"/>
        <v>1.5</v>
      </c>
      <c r="X43" s="478" t="s">
        <v>871</v>
      </c>
      <c r="Y43" s="478"/>
      <c r="Z43" s="478"/>
      <c r="AA43" s="190"/>
      <c r="AB43" s="190"/>
      <c r="AC43" s="190"/>
      <c r="AD43" s="190"/>
      <c r="AE43" s="190"/>
      <c r="AF43" s="190"/>
      <c r="AG43" s="190"/>
      <c r="AH43" s="190"/>
      <c r="AI43" s="35" t="s">
        <v>86</v>
      </c>
      <c r="AJ43" s="419"/>
      <c r="AL43" s="133"/>
    </row>
    <row r="44" spans="1:121" ht="39.75" customHeight="1" x14ac:dyDescent="0.25">
      <c r="A44" s="251">
        <v>4</v>
      </c>
      <c r="B44" s="135"/>
      <c r="C44" s="191" t="s">
        <v>89</v>
      </c>
      <c r="D44" s="190" t="s">
        <v>90</v>
      </c>
      <c r="E44" s="338">
        <v>40</v>
      </c>
      <c r="F44" s="190">
        <v>4</v>
      </c>
      <c r="G44" s="192">
        <f>E44</f>
        <v>40</v>
      </c>
      <c r="H44" s="193">
        <f>(G44*1)/25</f>
        <v>1.6</v>
      </c>
      <c r="I44" s="192">
        <f>(F44*25)-G44</f>
        <v>60</v>
      </c>
      <c r="J44" s="193">
        <f>(I44*1)/25</f>
        <v>2.4</v>
      </c>
      <c r="K44" s="139" t="s">
        <v>30</v>
      </c>
      <c r="L44" s="432">
        <v>10</v>
      </c>
      <c r="M44" s="433">
        <f t="shared" si="32"/>
        <v>1</v>
      </c>
      <c r="N44" s="432"/>
      <c r="O44" s="432"/>
      <c r="P44" s="432"/>
      <c r="Q44" s="451">
        <v>10</v>
      </c>
      <c r="R44" s="452">
        <f t="shared" si="33"/>
        <v>1</v>
      </c>
      <c r="S44" s="451">
        <v>10</v>
      </c>
      <c r="T44" s="451"/>
      <c r="U44" s="451"/>
      <c r="V44" s="478">
        <v>20</v>
      </c>
      <c r="W44" s="479">
        <f t="shared" si="34"/>
        <v>2</v>
      </c>
      <c r="X44" s="478" t="s">
        <v>871</v>
      </c>
      <c r="Y44" s="478"/>
      <c r="Z44" s="478"/>
      <c r="AA44" s="190"/>
      <c r="AB44" s="190"/>
      <c r="AC44" s="190"/>
      <c r="AD44" s="190"/>
      <c r="AE44" s="190"/>
      <c r="AF44" s="190"/>
      <c r="AG44" s="190"/>
      <c r="AH44" s="190"/>
      <c r="AI44" s="35" t="s">
        <v>91</v>
      </c>
      <c r="AJ44" s="419"/>
      <c r="AL44" s="133"/>
    </row>
    <row r="45" spans="1:121" ht="18" customHeight="1" x14ac:dyDescent="0.25">
      <c r="A45" s="504" t="s">
        <v>37</v>
      </c>
      <c r="B45" s="505"/>
      <c r="C45" s="505"/>
      <c r="D45" s="506"/>
      <c r="E45" s="190">
        <f>SUM(E41:E44)</f>
        <v>170</v>
      </c>
      <c r="F45" s="190">
        <f t="shared" ref="F45:J45" si="37">SUM(F41:F44)</f>
        <v>14</v>
      </c>
      <c r="G45" s="190">
        <f t="shared" si="37"/>
        <v>170</v>
      </c>
      <c r="H45" s="252">
        <f t="shared" si="37"/>
        <v>6.8000000000000007</v>
      </c>
      <c r="I45" s="190">
        <f>SUM(I41:I44)</f>
        <v>180</v>
      </c>
      <c r="J45" s="252">
        <f t="shared" si="37"/>
        <v>7.1999999999999993</v>
      </c>
      <c r="K45" s="252"/>
      <c r="L45" s="432">
        <f>SUM(L41:L44)</f>
        <v>45</v>
      </c>
      <c r="M45" s="433">
        <f t="shared" si="32"/>
        <v>3.7058823529411766</v>
      </c>
      <c r="N45" s="432"/>
      <c r="O45" s="432"/>
      <c r="P45" s="432"/>
      <c r="Q45" s="451">
        <f>SUM(Q41:Q44)</f>
        <v>50</v>
      </c>
      <c r="R45" s="452">
        <f t="shared" si="33"/>
        <v>4.117647058823529</v>
      </c>
      <c r="S45" s="451"/>
      <c r="T45" s="451"/>
      <c r="U45" s="451"/>
      <c r="V45" s="478">
        <f>SUM(V41:V44)</f>
        <v>75</v>
      </c>
      <c r="W45" s="479">
        <f t="shared" si="34"/>
        <v>6.1764705882352944</v>
      </c>
      <c r="X45" s="478"/>
      <c r="Y45" s="478"/>
      <c r="Z45" s="478"/>
      <c r="AA45" s="190"/>
      <c r="AB45" s="190"/>
      <c r="AC45" s="190"/>
      <c r="AD45" s="190"/>
      <c r="AE45" s="190"/>
      <c r="AF45" s="190"/>
      <c r="AG45" s="190"/>
      <c r="AH45" s="190"/>
      <c r="AJ45" s="60"/>
      <c r="AL45" s="8"/>
    </row>
    <row r="46" spans="1:121" ht="15" customHeight="1" x14ac:dyDescent="0.25">
      <c r="A46" s="522" t="s">
        <v>39</v>
      </c>
      <c r="B46" s="523"/>
      <c r="C46" s="523"/>
      <c r="D46" s="523"/>
      <c r="E46" s="523"/>
      <c r="F46" s="523"/>
      <c r="G46" s="523"/>
      <c r="H46" s="523"/>
      <c r="I46" s="523"/>
      <c r="J46" s="523"/>
      <c r="K46" s="523"/>
      <c r="L46" s="523"/>
      <c r="M46" s="523"/>
      <c r="N46" s="523"/>
      <c r="O46" s="523"/>
      <c r="P46" s="523"/>
      <c r="Q46" s="523"/>
      <c r="R46" s="523"/>
      <c r="S46" s="523"/>
      <c r="T46" s="523"/>
      <c r="U46" s="523"/>
      <c r="V46" s="523"/>
      <c r="W46" s="523"/>
      <c r="X46" s="523"/>
      <c r="Y46" s="523"/>
      <c r="Z46" s="523"/>
      <c r="AA46" s="523"/>
      <c r="AB46" s="523"/>
      <c r="AC46" s="523"/>
      <c r="AD46" s="523"/>
      <c r="AE46" s="523"/>
      <c r="AF46" s="523"/>
      <c r="AG46" s="523"/>
      <c r="AH46" s="524"/>
      <c r="AL46" s="8"/>
    </row>
    <row r="47" spans="1:121" ht="28.5" customHeight="1" x14ac:dyDescent="0.25">
      <c r="A47" s="251">
        <v>5</v>
      </c>
      <c r="B47" s="143"/>
      <c r="C47" s="190" t="s">
        <v>92</v>
      </c>
      <c r="D47" s="190" t="s">
        <v>42</v>
      </c>
      <c r="E47" s="338">
        <v>65</v>
      </c>
      <c r="F47" s="338">
        <v>6</v>
      </c>
      <c r="G47" s="192">
        <f>E47</f>
        <v>65</v>
      </c>
      <c r="H47" s="193">
        <f>(G47*1)/25</f>
        <v>2.6</v>
      </c>
      <c r="I47" s="192">
        <f>(F47*25)-G47</f>
        <v>85</v>
      </c>
      <c r="J47" s="193">
        <f>(I47*1)/25</f>
        <v>3.4</v>
      </c>
      <c r="K47" s="428" t="s">
        <v>698</v>
      </c>
      <c r="L47" s="432"/>
      <c r="M47" s="432"/>
      <c r="N47" s="432"/>
      <c r="O47" s="432"/>
      <c r="P47" s="432"/>
      <c r="Q47" s="451">
        <v>50</v>
      </c>
      <c r="R47" s="452">
        <f t="shared" ref="R47" si="38">(Q47*$F47)/$E47</f>
        <v>4.615384615384615</v>
      </c>
      <c r="S47" s="451">
        <v>10</v>
      </c>
      <c r="T47" s="451"/>
      <c r="U47" s="451"/>
      <c r="V47" s="478">
        <v>15</v>
      </c>
      <c r="W47" s="479">
        <f t="shared" ref="W47" si="39">(V47*$F47)/$E47</f>
        <v>1.3846153846153846</v>
      </c>
      <c r="X47" s="478" t="s">
        <v>871</v>
      </c>
      <c r="Y47" s="478"/>
      <c r="Z47" s="478"/>
      <c r="AA47" s="190"/>
      <c r="AB47" s="190"/>
      <c r="AC47" s="190"/>
      <c r="AD47" s="190"/>
      <c r="AE47" s="190"/>
      <c r="AF47" s="190"/>
      <c r="AG47" s="190"/>
      <c r="AH47" s="190"/>
      <c r="AL47" s="133"/>
    </row>
    <row r="48" spans="1:121" ht="0.6" customHeight="1" x14ac:dyDescent="0.25">
      <c r="A48" s="251"/>
      <c r="B48" s="143"/>
      <c r="C48" s="191"/>
      <c r="D48" s="190"/>
      <c r="E48" s="190"/>
      <c r="F48" s="190"/>
      <c r="G48" s="192"/>
      <c r="H48" s="193"/>
      <c r="I48" s="192"/>
      <c r="J48" s="193"/>
      <c r="K48" s="139"/>
      <c r="L48" s="432"/>
      <c r="M48" s="433"/>
      <c r="N48" s="432"/>
      <c r="O48" s="432"/>
      <c r="P48" s="432"/>
      <c r="Q48" s="451"/>
      <c r="R48" s="452"/>
      <c r="S48" s="451"/>
      <c r="T48" s="451"/>
      <c r="U48" s="451"/>
      <c r="V48" s="478"/>
      <c r="W48" s="479"/>
      <c r="X48" s="478"/>
      <c r="Y48" s="478"/>
      <c r="Z48" s="478"/>
      <c r="AA48" s="190"/>
      <c r="AB48" s="190"/>
      <c r="AC48" s="190"/>
      <c r="AD48" s="190"/>
      <c r="AE48" s="190"/>
      <c r="AF48" s="190"/>
      <c r="AG48" s="190"/>
      <c r="AH48" s="190"/>
      <c r="AL48" s="133"/>
    </row>
    <row r="49" spans="1:121" ht="20.45" customHeight="1" x14ac:dyDescent="0.25">
      <c r="A49" s="504" t="s">
        <v>52</v>
      </c>
      <c r="B49" s="505"/>
      <c r="C49" s="505"/>
      <c r="D49" s="506"/>
      <c r="E49" s="195">
        <f>SUM(E47)</f>
        <v>65</v>
      </c>
      <c r="F49" s="195">
        <f t="shared" ref="F49:J49" si="40">SUM(F47)</f>
        <v>6</v>
      </c>
      <c r="G49" s="195">
        <f t="shared" si="40"/>
        <v>65</v>
      </c>
      <c r="H49" s="195">
        <f t="shared" si="40"/>
        <v>2.6</v>
      </c>
      <c r="I49" s="195">
        <f t="shared" si="40"/>
        <v>85</v>
      </c>
      <c r="J49" s="195">
        <f t="shared" si="40"/>
        <v>3.4</v>
      </c>
      <c r="K49" s="254"/>
      <c r="L49" s="435">
        <f t="shared" ref="L49:M49" si="41">SUM(L47)</f>
        <v>0</v>
      </c>
      <c r="M49" s="435">
        <f t="shared" si="41"/>
        <v>0</v>
      </c>
      <c r="N49" s="435"/>
      <c r="O49" s="435"/>
      <c r="P49" s="435"/>
      <c r="Q49" s="454">
        <f t="shared" ref="Q49:R49" si="42">SUM(Q47)</f>
        <v>50</v>
      </c>
      <c r="R49" s="455">
        <f t="shared" si="42"/>
        <v>4.615384615384615</v>
      </c>
      <c r="S49" s="454"/>
      <c r="T49" s="454"/>
      <c r="U49" s="454"/>
      <c r="V49" s="481">
        <f t="shared" ref="V49:W49" si="43">SUM(V47)</f>
        <v>15</v>
      </c>
      <c r="W49" s="482">
        <f t="shared" si="43"/>
        <v>1.3846153846153846</v>
      </c>
      <c r="X49" s="481"/>
      <c r="Y49" s="481"/>
      <c r="Z49" s="481"/>
      <c r="AA49" s="190"/>
      <c r="AB49" s="190"/>
      <c r="AC49" s="190"/>
      <c r="AD49" s="190"/>
      <c r="AE49" s="190"/>
      <c r="AF49" s="190"/>
      <c r="AG49" s="190"/>
      <c r="AH49" s="190"/>
      <c r="AL49" s="8"/>
    </row>
    <row r="50" spans="1:121" ht="21.6" customHeight="1" x14ac:dyDescent="0.25">
      <c r="A50" s="522" t="s">
        <v>53</v>
      </c>
      <c r="B50" s="523"/>
      <c r="C50" s="523"/>
      <c r="D50" s="523"/>
      <c r="E50" s="523"/>
      <c r="F50" s="523"/>
      <c r="G50" s="523"/>
      <c r="H50" s="523"/>
      <c r="I50" s="523"/>
      <c r="J50" s="523"/>
      <c r="K50" s="523"/>
      <c r="L50" s="523"/>
      <c r="M50" s="523"/>
      <c r="N50" s="523"/>
      <c r="O50" s="523"/>
      <c r="P50" s="523"/>
      <c r="Q50" s="523"/>
      <c r="R50" s="523"/>
      <c r="S50" s="523"/>
      <c r="T50" s="523"/>
      <c r="U50" s="523"/>
      <c r="V50" s="523"/>
      <c r="W50" s="523"/>
      <c r="X50" s="523"/>
      <c r="Y50" s="523"/>
      <c r="Z50" s="523"/>
      <c r="AA50" s="523"/>
      <c r="AB50" s="523"/>
      <c r="AC50" s="523"/>
      <c r="AD50" s="523"/>
      <c r="AE50" s="523"/>
      <c r="AF50" s="523"/>
      <c r="AG50" s="523"/>
      <c r="AH50" s="524"/>
      <c r="AJ50" s="122"/>
      <c r="AK50" s="123"/>
      <c r="AL50" s="122"/>
      <c r="AM50" s="122"/>
      <c r="AN50" s="122"/>
      <c r="AO50" s="122"/>
      <c r="AP50" s="123"/>
      <c r="AQ50" s="122"/>
      <c r="AR50" s="122"/>
    </row>
    <row r="51" spans="1:121" ht="43.9" customHeight="1" x14ac:dyDescent="0.25">
      <c r="A51" s="135">
        <v>7</v>
      </c>
      <c r="B51" s="135"/>
      <c r="C51" s="191" t="s">
        <v>93</v>
      </c>
      <c r="D51" s="190" t="s">
        <v>94</v>
      </c>
      <c r="E51" s="195">
        <v>30</v>
      </c>
      <c r="F51" s="195">
        <v>1</v>
      </c>
      <c r="G51" s="192">
        <f>E51</f>
        <v>30</v>
      </c>
      <c r="H51" s="193">
        <f>(G51*1)/30</f>
        <v>1</v>
      </c>
      <c r="I51" s="192">
        <f>(F51*30)-G51</f>
        <v>0</v>
      </c>
      <c r="J51" s="193">
        <f>(I51*1)/30</f>
        <v>0</v>
      </c>
      <c r="K51" s="139" t="s">
        <v>43</v>
      </c>
      <c r="L51" s="432"/>
      <c r="M51" s="432"/>
      <c r="N51" s="432"/>
      <c r="O51" s="432"/>
      <c r="P51" s="432"/>
      <c r="Q51" s="451"/>
      <c r="R51" s="451"/>
      <c r="S51" s="451"/>
      <c r="T51" s="451"/>
      <c r="U51" s="451"/>
      <c r="V51" s="478">
        <v>30</v>
      </c>
      <c r="W51" s="479">
        <f t="shared" ref="W51" si="44">(V51*$F51)/$E51</f>
        <v>1</v>
      </c>
      <c r="X51" s="478" t="s">
        <v>871</v>
      </c>
      <c r="Y51" s="478"/>
      <c r="Z51" s="478"/>
      <c r="AA51" s="190"/>
      <c r="AB51" s="190"/>
      <c r="AC51" s="190"/>
      <c r="AD51" s="190"/>
      <c r="AE51" s="190"/>
      <c r="AF51" s="190"/>
      <c r="AG51" s="190"/>
      <c r="AH51" s="190"/>
      <c r="AL51" s="133"/>
    </row>
    <row r="52" spans="1:121" ht="46.15" customHeight="1" x14ac:dyDescent="0.25">
      <c r="A52" s="135">
        <v>9</v>
      </c>
      <c r="B52" s="135"/>
      <c r="C52" s="190" t="s">
        <v>95</v>
      </c>
      <c r="D52" s="191" t="s">
        <v>58</v>
      </c>
      <c r="E52" s="195">
        <v>20</v>
      </c>
      <c r="F52" s="195">
        <v>0</v>
      </c>
      <c r="G52" s="192">
        <f>E52</f>
        <v>20</v>
      </c>
      <c r="H52" s="193">
        <v>0</v>
      </c>
      <c r="I52" s="192">
        <v>0</v>
      </c>
      <c r="J52" s="193">
        <f>(I52*1)/25</f>
        <v>0</v>
      </c>
      <c r="K52" s="139" t="s">
        <v>43</v>
      </c>
      <c r="L52" s="432"/>
      <c r="M52" s="432"/>
      <c r="N52" s="432"/>
      <c r="O52" s="432"/>
      <c r="P52" s="432"/>
      <c r="Q52" s="454">
        <v>20</v>
      </c>
      <c r="R52" s="452">
        <f t="shared" ref="R52" si="45">(Q52*$F52)/$E52</f>
        <v>0</v>
      </c>
      <c r="S52" s="451">
        <v>20</v>
      </c>
      <c r="T52" s="451"/>
      <c r="U52" s="451"/>
      <c r="V52" s="478"/>
      <c r="W52" s="478"/>
      <c r="X52" s="478"/>
      <c r="Y52" s="478"/>
      <c r="Z52" s="478"/>
      <c r="AA52" s="190"/>
      <c r="AB52" s="190"/>
      <c r="AC52" s="190"/>
      <c r="AD52" s="190"/>
      <c r="AE52" s="190"/>
      <c r="AF52" s="190"/>
      <c r="AG52" s="190"/>
      <c r="AH52" s="190"/>
      <c r="AI52" s="337"/>
      <c r="AL52" s="11"/>
    </row>
    <row r="53" spans="1:121" s="11" customFormat="1" ht="18" customHeight="1" x14ac:dyDescent="0.25">
      <c r="A53" s="504" t="s">
        <v>64</v>
      </c>
      <c r="B53" s="505"/>
      <c r="C53" s="505"/>
      <c r="D53" s="506"/>
      <c r="E53" s="195">
        <f>SUM(E51:E52)</f>
        <v>50</v>
      </c>
      <c r="F53" s="195">
        <f t="shared" ref="F53:W53" si="46">SUM(F51:F52)</f>
        <v>1</v>
      </c>
      <c r="G53" s="195">
        <f t="shared" si="46"/>
        <v>50</v>
      </c>
      <c r="H53" s="195">
        <f t="shared" si="46"/>
        <v>1</v>
      </c>
      <c r="I53" s="195">
        <f t="shared" si="46"/>
        <v>0</v>
      </c>
      <c r="J53" s="195">
        <f t="shared" si="46"/>
        <v>0</v>
      </c>
      <c r="K53" s="195"/>
      <c r="L53" s="435"/>
      <c r="M53" s="435"/>
      <c r="N53" s="435"/>
      <c r="O53" s="435"/>
      <c r="P53" s="435"/>
      <c r="Q53" s="454">
        <f t="shared" si="46"/>
        <v>20</v>
      </c>
      <c r="R53" s="455">
        <f t="shared" si="46"/>
        <v>0</v>
      </c>
      <c r="S53" s="454"/>
      <c r="T53" s="454"/>
      <c r="U53" s="454"/>
      <c r="V53" s="481">
        <f t="shared" si="46"/>
        <v>30</v>
      </c>
      <c r="W53" s="482">
        <f t="shared" si="46"/>
        <v>1</v>
      </c>
      <c r="X53" s="481"/>
      <c r="Y53" s="481"/>
      <c r="Z53" s="481"/>
      <c r="AA53" s="190"/>
      <c r="AB53" s="190"/>
      <c r="AC53" s="190"/>
      <c r="AD53" s="190"/>
      <c r="AE53" s="190"/>
      <c r="AF53" s="190"/>
      <c r="AG53" s="190"/>
      <c r="AH53" s="190"/>
      <c r="DM53" s="175"/>
      <c r="DN53" s="175"/>
    </row>
    <row r="54" spans="1:121" ht="1.1499999999999999" customHeight="1" x14ac:dyDescent="0.25">
      <c r="A54" s="522"/>
      <c r="B54" s="523"/>
      <c r="C54" s="523"/>
      <c r="D54" s="523"/>
      <c r="E54" s="523"/>
      <c r="F54" s="523"/>
      <c r="G54" s="523"/>
      <c r="H54" s="523"/>
      <c r="I54" s="523"/>
      <c r="J54" s="523"/>
      <c r="K54" s="523"/>
      <c r="L54" s="523"/>
      <c r="M54" s="523"/>
      <c r="N54" s="523"/>
      <c r="O54" s="523"/>
      <c r="P54" s="523"/>
      <c r="Q54" s="523"/>
      <c r="R54" s="523"/>
      <c r="S54" s="523"/>
      <c r="T54" s="523"/>
      <c r="U54" s="523"/>
      <c r="V54" s="523"/>
      <c r="W54" s="523"/>
      <c r="X54" s="523"/>
      <c r="Y54" s="523"/>
      <c r="Z54" s="523"/>
      <c r="AA54" s="523"/>
      <c r="AB54" s="523"/>
      <c r="AC54" s="523"/>
      <c r="AD54" s="523"/>
      <c r="AE54" s="523"/>
      <c r="AF54" s="523"/>
      <c r="AG54" s="523"/>
      <c r="AH54" s="524"/>
      <c r="AL54" s="8"/>
    </row>
    <row r="55" spans="1:121" ht="19.899999999999999" customHeight="1" x14ac:dyDescent="0.25">
      <c r="A55" s="522" t="s">
        <v>72</v>
      </c>
      <c r="B55" s="523"/>
      <c r="C55" s="523"/>
      <c r="D55" s="523"/>
      <c r="E55" s="523"/>
      <c r="F55" s="523"/>
      <c r="G55" s="523"/>
      <c r="H55" s="523"/>
      <c r="I55" s="523"/>
      <c r="J55" s="523"/>
      <c r="K55" s="523"/>
      <c r="L55" s="523"/>
      <c r="M55" s="523"/>
      <c r="N55" s="523"/>
      <c r="O55" s="523"/>
      <c r="P55" s="523"/>
      <c r="Q55" s="523"/>
      <c r="R55" s="523"/>
      <c r="S55" s="523"/>
      <c r="T55" s="523"/>
      <c r="U55" s="523"/>
      <c r="V55" s="523"/>
      <c r="W55" s="523"/>
      <c r="X55" s="523"/>
      <c r="Y55" s="523"/>
      <c r="Z55" s="523"/>
      <c r="AA55" s="523"/>
      <c r="AB55" s="523"/>
      <c r="AC55" s="523"/>
      <c r="AD55" s="523"/>
      <c r="AE55" s="523"/>
      <c r="AF55" s="523"/>
      <c r="AG55" s="524"/>
      <c r="AH55" s="190"/>
      <c r="AL55" s="8"/>
    </row>
    <row r="56" spans="1:121" ht="34.15" customHeight="1" x14ac:dyDescent="0.25">
      <c r="A56" s="135"/>
      <c r="B56" s="135"/>
      <c r="C56" s="546" t="s">
        <v>96</v>
      </c>
      <c r="D56" s="547"/>
      <c r="E56" s="342">
        <v>60</v>
      </c>
      <c r="F56" s="342">
        <v>6</v>
      </c>
      <c r="G56" s="333">
        <f>E56</f>
        <v>60</v>
      </c>
      <c r="H56" s="334">
        <f>(G56*1)/25</f>
        <v>2.4</v>
      </c>
      <c r="I56" s="333">
        <f>(F56*25)-G56</f>
        <v>90</v>
      </c>
      <c r="J56" s="334">
        <f>(I56*1)/25</f>
        <v>3.6</v>
      </c>
      <c r="K56" s="335" t="s">
        <v>43</v>
      </c>
      <c r="L56" s="435"/>
      <c r="M56" s="435"/>
      <c r="N56" s="435"/>
      <c r="O56" s="435"/>
      <c r="P56" s="435"/>
      <c r="Q56" s="451">
        <v>0</v>
      </c>
      <c r="R56" s="452">
        <f t="shared" ref="R56" si="47">(Q56*$F56)/$E56</f>
        <v>0</v>
      </c>
      <c r="S56" s="454"/>
      <c r="T56" s="454"/>
      <c r="U56" s="454"/>
      <c r="V56" s="478">
        <f>E56</f>
        <v>60</v>
      </c>
      <c r="W56" s="479">
        <f t="shared" ref="W56" si="48">(V56*$F56)/$E56</f>
        <v>6</v>
      </c>
      <c r="X56" s="478" t="s">
        <v>871</v>
      </c>
      <c r="Y56" s="481"/>
      <c r="Z56" s="481"/>
      <c r="AA56" s="332"/>
      <c r="AB56" s="332"/>
      <c r="AC56" s="332"/>
      <c r="AD56" s="332"/>
      <c r="AE56" s="332"/>
      <c r="AF56" s="332"/>
      <c r="AG56" s="332"/>
      <c r="AH56" s="332"/>
      <c r="AI56" s="8">
        <f>7*10</f>
        <v>70</v>
      </c>
      <c r="AL56" s="197"/>
      <c r="DQ56" s="170"/>
    </row>
    <row r="57" spans="1:121" ht="41.45" hidden="1" customHeight="1" x14ac:dyDescent="0.25">
      <c r="A57" s="135"/>
      <c r="B57" s="135"/>
      <c r="C57" s="190"/>
      <c r="D57" s="191"/>
      <c r="E57" s="195"/>
      <c r="F57" s="195"/>
      <c r="G57" s="192"/>
      <c r="H57" s="193"/>
      <c r="I57" s="192"/>
      <c r="J57" s="193"/>
      <c r="K57" s="139"/>
      <c r="L57" s="432"/>
      <c r="M57" s="432"/>
      <c r="N57" s="432"/>
      <c r="O57" s="432"/>
      <c r="P57" s="432"/>
      <c r="Q57" s="451"/>
      <c r="R57" s="452"/>
      <c r="S57" s="451"/>
      <c r="T57" s="451"/>
      <c r="U57" s="451"/>
      <c r="V57" s="478"/>
      <c r="W57" s="479"/>
      <c r="X57" s="478"/>
      <c r="Y57" s="478"/>
      <c r="Z57" s="478"/>
      <c r="AA57" s="190"/>
      <c r="AB57" s="190"/>
      <c r="AC57" s="190"/>
      <c r="AD57" s="190"/>
      <c r="AE57" s="190"/>
      <c r="AF57" s="190"/>
      <c r="AG57" s="190"/>
      <c r="AH57" s="190"/>
      <c r="AL57" s="197"/>
    </row>
    <row r="58" spans="1:121" ht="41.45" hidden="1" customHeight="1" x14ac:dyDescent="0.25">
      <c r="A58" s="135"/>
      <c r="B58" s="135"/>
      <c r="C58" s="190"/>
      <c r="D58" s="191"/>
      <c r="E58" s="195"/>
      <c r="F58" s="195"/>
      <c r="G58" s="192"/>
      <c r="H58" s="193"/>
      <c r="I58" s="192"/>
      <c r="J58" s="193"/>
      <c r="K58" s="139"/>
      <c r="L58" s="432"/>
      <c r="M58" s="432"/>
      <c r="N58" s="432"/>
      <c r="O58" s="432"/>
      <c r="P58" s="432"/>
      <c r="Q58" s="451"/>
      <c r="R58" s="452"/>
      <c r="S58" s="451"/>
      <c r="T58" s="451"/>
      <c r="U58" s="451"/>
      <c r="V58" s="478"/>
      <c r="W58" s="479"/>
      <c r="X58" s="478"/>
      <c r="Y58" s="478"/>
      <c r="Z58" s="478"/>
      <c r="AA58" s="190"/>
      <c r="AB58" s="190"/>
      <c r="AC58" s="190"/>
      <c r="AD58" s="190"/>
      <c r="AE58" s="190"/>
      <c r="AF58" s="190"/>
      <c r="AG58" s="190"/>
      <c r="AH58" s="190"/>
      <c r="AL58" s="197"/>
    </row>
    <row r="59" spans="1:121" ht="41.45" hidden="1" customHeight="1" x14ac:dyDescent="0.25">
      <c r="A59" s="135"/>
      <c r="B59" s="135"/>
      <c r="C59" s="190"/>
      <c r="D59" s="191"/>
      <c r="E59" s="195"/>
      <c r="F59" s="195"/>
      <c r="G59" s="192"/>
      <c r="H59" s="193"/>
      <c r="I59" s="192"/>
      <c r="J59" s="193"/>
      <c r="K59" s="139"/>
      <c r="L59" s="432"/>
      <c r="M59" s="432"/>
      <c r="N59" s="432"/>
      <c r="O59" s="432"/>
      <c r="P59" s="432"/>
      <c r="Q59" s="451"/>
      <c r="R59" s="452"/>
      <c r="S59" s="451"/>
      <c r="T59" s="451"/>
      <c r="U59" s="451"/>
      <c r="V59" s="478"/>
      <c r="W59" s="479"/>
      <c r="X59" s="478"/>
      <c r="Y59" s="478"/>
      <c r="Z59" s="478"/>
      <c r="AA59" s="190"/>
      <c r="AB59" s="190"/>
      <c r="AC59" s="190"/>
      <c r="AD59" s="190"/>
      <c r="AE59" s="190"/>
      <c r="AF59" s="190"/>
      <c r="AG59" s="190"/>
      <c r="AH59" s="190"/>
      <c r="AL59" s="197"/>
    </row>
    <row r="60" spans="1:121" ht="41.45" hidden="1" customHeight="1" x14ac:dyDescent="0.25">
      <c r="A60" s="135"/>
      <c r="B60" s="135"/>
      <c r="C60" s="190"/>
      <c r="D60" s="191"/>
      <c r="E60" s="190"/>
      <c r="F60" s="190"/>
      <c r="G60" s="192"/>
      <c r="H60" s="193"/>
      <c r="I60" s="192"/>
      <c r="J60" s="193"/>
      <c r="K60" s="139"/>
      <c r="L60" s="432"/>
      <c r="M60" s="432"/>
      <c r="N60" s="432"/>
      <c r="O60" s="432"/>
      <c r="P60" s="432"/>
      <c r="Q60" s="451"/>
      <c r="R60" s="452"/>
      <c r="S60" s="451"/>
      <c r="T60" s="454"/>
      <c r="U60" s="454"/>
      <c r="V60" s="481"/>
      <c r="W60" s="479"/>
      <c r="X60" s="481"/>
      <c r="Y60" s="481"/>
      <c r="Z60" s="478"/>
      <c r="AA60" s="190"/>
      <c r="AB60" s="190"/>
      <c r="AC60" s="190"/>
      <c r="AD60" s="190"/>
      <c r="AE60" s="190"/>
      <c r="AF60" s="190"/>
      <c r="AG60" s="190"/>
      <c r="AH60" s="190"/>
      <c r="AL60" s="197"/>
    </row>
    <row r="61" spans="1:121" ht="40.9" hidden="1" customHeight="1" x14ac:dyDescent="0.25">
      <c r="A61" s="135"/>
      <c r="B61" s="135"/>
      <c r="C61" s="190"/>
      <c r="D61" s="191"/>
      <c r="E61" s="195"/>
      <c r="F61" s="195"/>
      <c r="G61" s="192"/>
      <c r="H61" s="193"/>
      <c r="I61" s="192"/>
      <c r="J61" s="193"/>
      <c r="K61" s="139"/>
      <c r="L61" s="432"/>
      <c r="M61" s="432"/>
      <c r="N61" s="432"/>
      <c r="O61" s="432"/>
      <c r="P61" s="432"/>
      <c r="Q61" s="451"/>
      <c r="R61" s="452"/>
      <c r="S61" s="451"/>
      <c r="T61" s="451"/>
      <c r="U61" s="451"/>
      <c r="V61" s="478"/>
      <c r="W61" s="479"/>
      <c r="X61" s="478"/>
      <c r="Y61" s="478"/>
      <c r="Z61" s="478"/>
      <c r="AA61" s="190"/>
      <c r="AB61" s="190"/>
      <c r="AC61" s="190"/>
      <c r="AD61" s="190"/>
      <c r="AE61" s="190"/>
      <c r="AF61" s="190"/>
      <c r="AG61" s="190"/>
      <c r="AH61" s="190"/>
      <c r="AL61" s="197"/>
    </row>
    <row r="62" spans="1:121" ht="19.149999999999999" hidden="1" customHeight="1" x14ac:dyDescent="0.25">
      <c r="A62" s="504"/>
      <c r="B62" s="505"/>
      <c r="C62" s="505"/>
      <c r="D62" s="506"/>
      <c r="E62" s="195"/>
      <c r="F62" s="195"/>
      <c r="G62" s="195"/>
      <c r="H62" s="195"/>
      <c r="I62" s="195"/>
      <c r="J62" s="195"/>
      <c r="K62" s="254"/>
      <c r="L62" s="435"/>
      <c r="M62" s="433"/>
      <c r="N62" s="435"/>
      <c r="O62" s="435"/>
      <c r="P62" s="435"/>
      <c r="Q62" s="454"/>
      <c r="R62" s="455"/>
      <c r="S62" s="454"/>
      <c r="T62" s="454"/>
      <c r="U62" s="454"/>
      <c r="V62" s="481"/>
      <c r="W62" s="482"/>
      <c r="X62" s="481"/>
      <c r="Y62" s="481"/>
      <c r="Z62" s="481"/>
      <c r="AA62" s="190"/>
      <c r="AB62" s="190"/>
      <c r="AC62" s="190"/>
      <c r="AD62" s="190"/>
      <c r="AE62" s="190"/>
      <c r="AF62" s="190"/>
      <c r="AG62" s="190"/>
      <c r="AH62" s="190"/>
      <c r="AL62" s="8"/>
    </row>
    <row r="63" spans="1:121" ht="20.45" customHeight="1" x14ac:dyDescent="0.25">
      <c r="A63" s="522" t="s">
        <v>97</v>
      </c>
      <c r="B63" s="523"/>
      <c r="C63" s="523"/>
      <c r="D63" s="523"/>
      <c r="E63" s="523"/>
      <c r="F63" s="523"/>
      <c r="G63" s="523"/>
      <c r="H63" s="523"/>
      <c r="I63" s="523"/>
      <c r="J63" s="523"/>
      <c r="K63" s="523"/>
      <c r="L63" s="523"/>
      <c r="M63" s="523"/>
      <c r="N63" s="523"/>
      <c r="O63" s="523"/>
      <c r="P63" s="523"/>
      <c r="Q63" s="523"/>
      <c r="R63" s="523"/>
      <c r="S63" s="523"/>
      <c r="T63" s="523"/>
      <c r="U63" s="523"/>
      <c r="V63" s="523"/>
      <c r="W63" s="523"/>
      <c r="X63" s="523"/>
      <c r="Y63" s="523"/>
      <c r="Z63" s="523"/>
      <c r="AA63" s="523"/>
      <c r="AB63" s="523"/>
      <c r="AC63" s="523"/>
      <c r="AD63" s="523"/>
      <c r="AE63" s="523"/>
      <c r="AF63" s="523"/>
      <c r="AG63" s="523"/>
      <c r="AH63" s="524"/>
      <c r="AL63" s="8"/>
    </row>
    <row r="64" spans="1:121" ht="35.450000000000003" customHeight="1" x14ac:dyDescent="0.25">
      <c r="A64" s="135">
        <v>10</v>
      </c>
      <c r="B64" s="143"/>
      <c r="C64" s="190" t="s">
        <v>98</v>
      </c>
      <c r="D64" s="190" t="s">
        <v>99</v>
      </c>
      <c r="E64" s="190">
        <v>75</v>
      </c>
      <c r="F64" s="190">
        <v>3</v>
      </c>
      <c r="G64" s="192">
        <v>5</v>
      </c>
      <c r="H64" s="193">
        <f>(G64*1)/25</f>
        <v>0.2</v>
      </c>
      <c r="I64" s="192">
        <f>(F64*25)-G64</f>
        <v>70</v>
      </c>
      <c r="J64" s="193">
        <f>(I64*1)/25</f>
        <v>2.8</v>
      </c>
      <c r="K64" s="139" t="s">
        <v>26</v>
      </c>
      <c r="L64" s="432"/>
      <c r="M64" s="432"/>
      <c r="N64" s="432"/>
      <c r="O64" s="432"/>
      <c r="P64" s="432"/>
      <c r="Q64" s="451"/>
      <c r="R64" s="451"/>
      <c r="S64" s="451"/>
      <c r="T64" s="451"/>
      <c r="U64" s="451"/>
      <c r="V64" s="478"/>
      <c r="W64" s="478"/>
      <c r="X64" s="478"/>
      <c r="Y64" s="478"/>
      <c r="Z64" s="478"/>
      <c r="AA64" s="190"/>
      <c r="AB64" s="190"/>
      <c r="AC64" s="190"/>
      <c r="AD64" s="190"/>
      <c r="AE64" s="190">
        <f>E64</f>
        <v>75</v>
      </c>
      <c r="AF64" s="194">
        <f t="shared" ref="AF64" si="49">(AE64*$F64)/$E64</f>
        <v>3</v>
      </c>
      <c r="AG64" s="190"/>
      <c r="AH64" s="190"/>
      <c r="AL64" s="133"/>
    </row>
    <row r="65" spans="1:38" ht="23.25" customHeight="1" x14ac:dyDescent="0.25">
      <c r="A65" s="501" t="s">
        <v>74</v>
      </c>
      <c r="B65" s="502"/>
      <c r="C65" s="502"/>
      <c r="D65" s="503"/>
      <c r="E65" s="195">
        <f>SUM(E52,E56)</f>
        <v>80</v>
      </c>
      <c r="F65" s="195">
        <f t="shared" ref="F65:M65" si="50">SUM(F52,F56)</f>
        <v>6</v>
      </c>
      <c r="G65" s="195">
        <f t="shared" si="50"/>
        <v>80</v>
      </c>
      <c r="H65" s="195">
        <f t="shared" si="50"/>
        <v>2.4</v>
      </c>
      <c r="I65" s="195">
        <f t="shared" si="50"/>
        <v>90</v>
      </c>
      <c r="J65" s="195">
        <f t="shared" si="50"/>
        <v>3.6</v>
      </c>
      <c r="K65" s="195"/>
      <c r="L65" s="435">
        <f>SUM(L52,L56)</f>
        <v>0</v>
      </c>
      <c r="M65" s="436">
        <f t="shared" si="50"/>
        <v>0</v>
      </c>
      <c r="N65" s="435"/>
      <c r="O65" s="435"/>
      <c r="P65" s="435"/>
      <c r="Q65" s="454">
        <f>SUM(Q52,Q56)</f>
        <v>20</v>
      </c>
      <c r="R65" s="455">
        <f t="shared" ref="R65" si="51">SUM(R52,R56)</f>
        <v>0</v>
      </c>
      <c r="S65" s="454"/>
      <c r="T65" s="454"/>
      <c r="U65" s="454"/>
      <c r="V65" s="481">
        <f t="shared" ref="V65:W65" si="52">SUM(V52,V56)</f>
        <v>60</v>
      </c>
      <c r="W65" s="482">
        <f t="shared" si="52"/>
        <v>6</v>
      </c>
      <c r="X65" s="481"/>
      <c r="Y65" s="481"/>
      <c r="Z65" s="481"/>
      <c r="AA65" s="190"/>
      <c r="AB65" s="190"/>
      <c r="AC65" s="190"/>
      <c r="AD65" s="190"/>
      <c r="AE65" s="254">
        <f t="shared" ref="AE65:AF65" si="53">SUM(AE52,AE56)</f>
        <v>0</v>
      </c>
      <c r="AF65" s="254">
        <f t="shared" si="53"/>
        <v>0</v>
      </c>
      <c r="AG65" s="190"/>
      <c r="AH65" s="190"/>
      <c r="AL65" s="8"/>
    </row>
    <row r="66" spans="1:38" ht="15" customHeight="1" x14ac:dyDescent="0.25">
      <c r="A66" s="504" t="s">
        <v>100</v>
      </c>
      <c r="B66" s="505"/>
      <c r="C66" s="505"/>
      <c r="D66" s="506"/>
      <c r="E66" s="190">
        <f>SUM(E45,E49,E53,E56,E64)</f>
        <v>420</v>
      </c>
      <c r="F66" s="190">
        <f>SUM(F45,F49,F53,F56,F64)</f>
        <v>30</v>
      </c>
      <c r="G66" s="190">
        <f t="shared" ref="G66:J66" si="54">SUM(G45,G49,G53,G56,G64)</f>
        <v>350</v>
      </c>
      <c r="H66" s="190">
        <f t="shared" si="54"/>
        <v>13</v>
      </c>
      <c r="I66" s="190">
        <f>SUM(I45,I49,I53,I56,I64)</f>
        <v>425</v>
      </c>
      <c r="J66" s="190">
        <f t="shared" si="54"/>
        <v>17</v>
      </c>
      <c r="K66" s="252"/>
      <c r="L66" s="432">
        <f t="shared" ref="L66" si="55">SUM(L45,L49,L53,L56,L64)</f>
        <v>45</v>
      </c>
      <c r="M66" s="434">
        <f>SUM(M45,M49,M53,M56,M64)</f>
        <v>3.7058823529411766</v>
      </c>
      <c r="N66" s="432"/>
      <c r="O66" s="432"/>
      <c r="P66" s="432"/>
      <c r="Q66" s="451">
        <f t="shared" ref="Q66:R66" si="56">SUM(Q45,Q49,Q53,Q56,Q64)</f>
        <v>120</v>
      </c>
      <c r="R66" s="453">
        <f t="shared" si="56"/>
        <v>8.733031674208144</v>
      </c>
      <c r="S66" s="451"/>
      <c r="T66" s="451"/>
      <c r="U66" s="451"/>
      <c r="V66" s="478">
        <f t="shared" ref="V66" si="57">SUM(V45,V49,V53,V56,V64)</f>
        <v>180</v>
      </c>
      <c r="W66" s="480">
        <f>SUM(W45,W49,W53,W56,W64)</f>
        <v>14.561085972850679</v>
      </c>
      <c r="X66" s="478"/>
      <c r="Y66" s="478"/>
      <c r="Z66" s="478"/>
      <c r="AA66" s="190"/>
      <c r="AB66" s="190"/>
      <c r="AC66" s="190"/>
      <c r="AD66" s="190"/>
      <c r="AE66" s="190">
        <f t="shared" ref="AE66:AF66" si="58">SUM(AE45,AE49,AE53,AE56,AE64)</f>
        <v>75</v>
      </c>
      <c r="AF66" s="252">
        <f t="shared" si="58"/>
        <v>3</v>
      </c>
      <c r="AG66" s="190"/>
      <c r="AH66" s="190"/>
      <c r="AL66" s="8"/>
    </row>
    <row r="67" spans="1:38" ht="4.5" customHeight="1" x14ac:dyDescent="0.25">
      <c r="A67" s="507" t="s">
        <v>101</v>
      </c>
      <c r="B67" s="508"/>
      <c r="C67" s="508"/>
      <c r="D67" s="508"/>
      <c r="E67" s="508"/>
      <c r="F67" s="508"/>
      <c r="G67" s="508"/>
      <c r="H67" s="508"/>
      <c r="I67" s="508"/>
      <c r="J67" s="508"/>
      <c r="K67" s="508"/>
      <c r="L67" s="508"/>
      <c r="M67" s="508"/>
      <c r="N67" s="508"/>
      <c r="O67" s="508"/>
      <c r="P67" s="508"/>
      <c r="Q67" s="508"/>
      <c r="R67" s="508"/>
      <c r="S67" s="508"/>
      <c r="T67" s="508"/>
      <c r="U67" s="508"/>
      <c r="V67" s="508"/>
      <c r="W67" s="508"/>
      <c r="X67" s="508"/>
      <c r="Y67" s="508"/>
      <c r="Z67" s="508"/>
      <c r="AA67" s="508"/>
      <c r="AB67" s="508"/>
      <c r="AC67" s="508"/>
      <c r="AD67" s="508"/>
      <c r="AE67" s="508"/>
      <c r="AF67" s="508"/>
      <c r="AG67" s="508"/>
      <c r="AH67" s="509"/>
      <c r="AL67" s="8"/>
    </row>
    <row r="68" spans="1:38" ht="25.5" customHeight="1" x14ac:dyDescent="0.25">
      <c r="A68" s="510"/>
      <c r="B68" s="511"/>
      <c r="C68" s="511"/>
      <c r="D68" s="511"/>
      <c r="E68" s="511"/>
      <c r="F68" s="511"/>
      <c r="G68" s="511"/>
      <c r="H68" s="511"/>
      <c r="I68" s="511"/>
      <c r="J68" s="511"/>
      <c r="K68" s="511"/>
      <c r="L68" s="511"/>
      <c r="M68" s="511"/>
      <c r="N68" s="511"/>
      <c r="O68" s="511"/>
      <c r="P68" s="511"/>
      <c r="Q68" s="511"/>
      <c r="R68" s="511"/>
      <c r="S68" s="511"/>
      <c r="T68" s="511"/>
      <c r="U68" s="511"/>
      <c r="V68" s="511"/>
      <c r="W68" s="511"/>
      <c r="X68" s="511"/>
      <c r="Y68" s="511"/>
      <c r="Z68" s="511"/>
      <c r="AA68" s="511"/>
      <c r="AB68" s="511"/>
      <c r="AC68" s="511"/>
      <c r="AD68" s="511"/>
      <c r="AE68" s="511"/>
      <c r="AF68" s="511"/>
      <c r="AG68" s="511"/>
      <c r="AH68" s="512"/>
      <c r="AL68" s="8"/>
    </row>
    <row r="69" spans="1:38" ht="25.5" customHeight="1" x14ac:dyDescent="0.25">
      <c r="A69" s="513" t="s">
        <v>2</v>
      </c>
      <c r="B69" s="247"/>
      <c r="C69" s="513" t="s">
        <v>3</v>
      </c>
      <c r="D69" s="513" t="s">
        <v>4</v>
      </c>
      <c r="E69" s="504" t="s">
        <v>5</v>
      </c>
      <c r="F69" s="506"/>
      <c r="G69" s="522" t="s">
        <v>102</v>
      </c>
      <c r="H69" s="523"/>
      <c r="I69" s="523"/>
      <c r="J69" s="523"/>
      <c r="K69" s="523"/>
      <c r="L69" s="523"/>
      <c r="M69" s="523"/>
      <c r="N69" s="523"/>
      <c r="O69" s="523"/>
      <c r="P69" s="523"/>
      <c r="Q69" s="523"/>
      <c r="R69" s="523"/>
      <c r="S69" s="523"/>
      <c r="T69" s="523"/>
      <c r="U69" s="523"/>
      <c r="V69" s="523"/>
      <c r="W69" s="523"/>
      <c r="X69" s="523"/>
      <c r="Y69" s="523"/>
      <c r="Z69" s="523"/>
      <c r="AA69" s="523"/>
      <c r="AB69" s="523"/>
      <c r="AC69" s="523"/>
      <c r="AD69" s="523"/>
      <c r="AE69" s="523"/>
      <c r="AF69" s="523"/>
      <c r="AG69" s="523"/>
      <c r="AH69" s="524"/>
      <c r="AL69" s="500"/>
    </row>
    <row r="70" spans="1:38" ht="39.75" customHeight="1" x14ac:dyDescent="0.25">
      <c r="A70" s="514"/>
      <c r="B70" s="248"/>
      <c r="C70" s="514"/>
      <c r="D70" s="514"/>
      <c r="E70" s="516" t="s">
        <v>78</v>
      </c>
      <c r="F70" s="516" t="s">
        <v>8</v>
      </c>
      <c r="G70" s="516" t="s">
        <v>9</v>
      </c>
      <c r="H70" s="519" t="s">
        <v>8</v>
      </c>
      <c r="I70" s="516" t="s">
        <v>10</v>
      </c>
      <c r="J70" s="519" t="s">
        <v>8</v>
      </c>
      <c r="K70" s="519" t="s">
        <v>11</v>
      </c>
      <c r="L70" s="522" t="s">
        <v>12</v>
      </c>
      <c r="M70" s="523"/>
      <c r="N70" s="523"/>
      <c r="O70" s="523"/>
      <c r="P70" s="523"/>
      <c r="Q70" s="523"/>
      <c r="R70" s="523"/>
      <c r="S70" s="523"/>
      <c r="T70" s="523"/>
      <c r="U70" s="523"/>
      <c r="V70" s="523"/>
      <c r="W70" s="523"/>
      <c r="X70" s="523"/>
      <c r="Y70" s="523"/>
      <c r="Z70" s="524"/>
      <c r="AA70" s="522" t="s">
        <v>13</v>
      </c>
      <c r="AB70" s="523"/>
      <c r="AC70" s="523"/>
      <c r="AD70" s="523"/>
      <c r="AE70" s="523"/>
      <c r="AF70" s="523"/>
      <c r="AG70" s="523"/>
      <c r="AH70" s="524"/>
      <c r="AL70" s="500"/>
    </row>
    <row r="71" spans="1:38" ht="38.25" customHeight="1" x14ac:dyDescent="0.25">
      <c r="A71" s="514"/>
      <c r="B71" s="248"/>
      <c r="C71" s="514"/>
      <c r="D71" s="514"/>
      <c r="E71" s="517"/>
      <c r="F71" s="517"/>
      <c r="G71" s="517"/>
      <c r="H71" s="520"/>
      <c r="I71" s="517"/>
      <c r="J71" s="520"/>
      <c r="K71" s="520"/>
      <c r="L71" s="554" t="s">
        <v>79</v>
      </c>
      <c r="M71" s="555"/>
      <c r="N71" s="555"/>
      <c r="O71" s="555"/>
      <c r="P71" s="556"/>
      <c r="Q71" s="551" t="s">
        <v>80</v>
      </c>
      <c r="R71" s="552"/>
      <c r="S71" s="552"/>
      <c r="T71" s="552"/>
      <c r="U71" s="553"/>
      <c r="V71" s="548" t="s">
        <v>81</v>
      </c>
      <c r="W71" s="549"/>
      <c r="X71" s="549"/>
      <c r="Y71" s="549"/>
      <c r="Z71" s="550"/>
      <c r="AA71" s="522" t="s">
        <v>17</v>
      </c>
      <c r="AB71" s="523"/>
      <c r="AC71" s="523"/>
      <c r="AD71" s="524"/>
      <c r="AE71" s="522" t="s">
        <v>18</v>
      </c>
      <c r="AF71" s="523"/>
      <c r="AG71" s="523"/>
      <c r="AH71" s="524"/>
      <c r="AL71" s="500"/>
    </row>
    <row r="72" spans="1:38" ht="41.45" customHeight="1" x14ac:dyDescent="0.25">
      <c r="A72" s="515"/>
      <c r="B72" s="249"/>
      <c r="C72" s="515"/>
      <c r="D72" s="515"/>
      <c r="E72" s="518"/>
      <c r="F72" s="518"/>
      <c r="G72" s="518"/>
      <c r="H72" s="521"/>
      <c r="I72" s="518"/>
      <c r="J72" s="521"/>
      <c r="K72" s="521"/>
      <c r="L72" s="430" t="s">
        <v>19</v>
      </c>
      <c r="M72" s="431" t="s">
        <v>8</v>
      </c>
      <c r="N72" s="431" t="s">
        <v>20</v>
      </c>
      <c r="O72" s="430" t="s">
        <v>21</v>
      </c>
      <c r="P72" s="430" t="s">
        <v>22</v>
      </c>
      <c r="Q72" s="449" t="s">
        <v>19</v>
      </c>
      <c r="R72" s="450" t="s">
        <v>8</v>
      </c>
      <c r="S72" s="450" t="s">
        <v>20</v>
      </c>
      <c r="T72" s="449" t="s">
        <v>21</v>
      </c>
      <c r="U72" s="449" t="s">
        <v>22</v>
      </c>
      <c r="V72" s="476" t="s">
        <v>19</v>
      </c>
      <c r="W72" s="477" t="s">
        <v>8</v>
      </c>
      <c r="X72" s="477" t="s">
        <v>20</v>
      </c>
      <c r="Y72" s="476" t="s">
        <v>21</v>
      </c>
      <c r="Z72" s="476" t="s">
        <v>22</v>
      </c>
      <c r="AA72" s="135" t="s">
        <v>19</v>
      </c>
      <c r="AB72" s="250" t="s">
        <v>8</v>
      </c>
      <c r="AC72" s="250" t="s">
        <v>20</v>
      </c>
      <c r="AD72" s="135" t="s">
        <v>21</v>
      </c>
      <c r="AE72" s="135" t="s">
        <v>19</v>
      </c>
      <c r="AF72" s="250" t="s">
        <v>8</v>
      </c>
      <c r="AG72" s="250" t="s">
        <v>20</v>
      </c>
      <c r="AH72" s="135" t="s">
        <v>21</v>
      </c>
      <c r="AL72" s="500"/>
    </row>
    <row r="73" spans="1:38" ht="19.149999999999999" customHeight="1" x14ac:dyDescent="0.25">
      <c r="A73" s="522" t="s">
        <v>23</v>
      </c>
      <c r="B73" s="523"/>
      <c r="C73" s="523"/>
      <c r="D73" s="523"/>
      <c r="E73" s="523"/>
      <c r="F73" s="523"/>
      <c r="G73" s="523"/>
      <c r="H73" s="523"/>
      <c r="I73" s="523"/>
      <c r="J73" s="523"/>
      <c r="K73" s="523"/>
      <c r="L73" s="523"/>
      <c r="M73" s="523"/>
      <c r="N73" s="523"/>
      <c r="O73" s="523"/>
      <c r="P73" s="523"/>
      <c r="Q73" s="523"/>
      <c r="R73" s="523"/>
      <c r="S73" s="523"/>
      <c r="T73" s="523"/>
      <c r="U73" s="523"/>
      <c r="V73" s="523"/>
      <c r="W73" s="523"/>
      <c r="X73" s="523"/>
      <c r="Y73" s="523"/>
      <c r="Z73" s="523"/>
      <c r="AA73" s="523"/>
      <c r="AB73" s="523"/>
      <c r="AC73" s="523"/>
      <c r="AD73" s="523"/>
      <c r="AE73" s="523"/>
      <c r="AF73" s="523"/>
      <c r="AG73" s="523"/>
      <c r="AH73" s="524"/>
      <c r="AL73" s="8"/>
    </row>
    <row r="74" spans="1:38" ht="58.15" customHeight="1" x14ac:dyDescent="0.25">
      <c r="A74" s="251">
        <v>1</v>
      </c>
      <c r="B74" s="135"/>
      <c r="C74" s="191" t="s">
        <v>103</v>
      </c>
      <c r="D74" s="190" t="s">
        <v>104</v>
      </c>
      <c r="E74" s="190">
        <v>70</v>
      </c>
      <c r="F74" s="338">
        <v>5</v>
      </c>
      <c r="G74" s="192">
        <f>E74</f>
        <v>70</v>
      </c>
      <c r="H74" s="193">
        <f t="shared" ref="H74:H82" si="59">(G74*1)/25</f>
        <v>2.8</v>
      </c>
      <c r="I74" s="192">
        <f>(F74*25)-G74</f>
        <v>55</v>
      </c>
      <c r="J74" s="193">
        <f t="shared" ref="J74:J82" si="60">(I74*1)/25</f>
        <v>2.2000000000000002</v>
      </c>
      <c r="K74" s="139" t="s">
        <v>30</v>
      </c>
      <c r="L74" s="432">
        <v>20</v>
      </c>
      <c r="M74" s="433">
        <f t="shared" ref="M74:M76" si="61">(L74*$F74)/$E74</f>
        <v>1.4285714285714286</v>
      </c>
      <c r="N74" s="432"/>
      <c r="O74" s="432"/>
      <c r="P74" s="432"/>
      <c r="Q74" s="451">
        <v>30</v>
      </c>
      <c r="R74" s="452">
        <f t="shared" ref="R74:R76" si="62">(Q74*$F74)/$E74</f>
        <v>2.1428571428571428</v>
      </c>
      <c r="S74" s="451">
        <v>10</v>
      </c>
      <c r="T74" s="451"/>
      <c r="U74" s="451"/>
      <c r="V74" s="478">
        <v>20</v>
      </c>
      <c r="W74" s="479">
        <f t="shared" ref="W74:W76" si="63">(V74*$F74)/$E74</f>
        <v>1.4285714285714286</v>
      </c>
      <c r="X74" s="478" t="s">
        <v>871</v>
      </c>
      <c r="Y74" s="478"/>
      <c r="Z74" s="478"/>
      <c r="AA74" s="190"/>
      <c r="AB74" s="190"/>
      <c r="AC74" s="190"/>
      <c r="AD74" s="190"/>
      <c r="AE74" s="190"/>
      <c r="AF74" s="190"/>
      <c r="AG74" s="190"/>
      <c r="AH74" s="190"/>
      <c r="AI74" s="8" t="s">
        <v>105</v>
      </c>
      <c r="AJ74" s="35"/>
      <c r="AL74" s="133"/>
    </row>
    <row r="75" spans="1:38" ht="33" customHeight="1" x14ac:dyDescent="0.25">
      <c r="A75" s="251">
        <v>2</v>
      </c>
      <c r="B75" s="135"/>
      <c r="C75" s="191" t="s">
        <v>106</v>
      </c>
      <c r="D75" s="190" t="s">
        <v>107</v>
      </c>
      <c r="E75" s="190">
        <v>20</v>
      </c>
      <c r="F75" s="190">
        <v>1</v>
      </c>
      <c r="G75" s="192">
        <f>E75</f>
        <v>20</v>
      </c>
      <c r="H75" s="193">
        <f t="shared" si="59"/>
        <v>0.8</v>
      </c>
      <c r="I75" s="192">
        <f>(F75*25)-G75</f>
        <v>5</v>
      </c>
      <c r="J75" s="193">
        <f>(I75*1)/25</f>
        <v>0.2</v>
      </c>
      <c r="K75" s="139" t="s">
        <v>26</v>
      </c>
      <c r="L75" s="432">
        <v>5</v>
      </c>
      <c r="M75" s="433">
        <f t="shared" si="61"/>
        <v>0.25</v>
      </c>
      <c r="N75" s="432"/>
      <c r="O75" s="432"/>
      <c r="P75" s="432" t="s">
        <v>50</v>
      </c>
      <c r="Q75" s="451">
        <v>10</v>
      </c>
      <c r="R75" s="452">
        <f t="shared" si="62"/>
        <v>0.5</v>
      </c>
      <c r="S75" s="451">
        <v>10</v>
      </c>
      <c r="T75" s="451"/>
      <c r="U75" s="451"/>
      <c r="V75" s="478">
        <v>5</v>
      </c>
      <c r="W75" s="479">
        <f t="shared" si="63"/>
        <v>0.25</v>
      </c>
      <c r="X75" s="478" t="s">
        <v>871</v>
      </c>
      <c r="Y75" s="478"/>
      <c r="Z75" s="478"/>
      <c r="AA75" s="190"/>
      <c r="AB75" s="190"/>
      <c r="AC75" s="190"/>
      <c r="AD75" s="190"/>
      <c r="AE75" s="190"/>
      <c r="AF75" s="190"/>
      <c r="AG75" s="190"/>
      <c r="AH75" s="190"/>
      <c r="AJ75" s="60" t="s">
        <v>108</v>
      </c>
      <c r="AL75" s="133"/>
    </row>
    <row r="76" spans="1:38" ht="15" customHeight="1" x14ac:dyDescent="0.25">
      <c r="A76" s="504" t="s">
        <v>37</v>
      </c>
      <c r="B76" s="505"/>
      <c r="C76" s="505"/>
      <c r="D76" s="506"/>
      <c r="E76" s="190">
        <f>SUM(E74:E75)</f>
        <v>90</v>
      </c>
      <c r="F76" s="190">
        <f t="shared" ref="F76:J76" si="64">SUM(F74:F75)</f>
        <v>6</v>
      </c>
      <c r="G76" s="190">
        <f t="shared" si="64"/>
        <v>90</v>
      </c>
      <c r="H76" s="252">
        <f t="shared" si="64"/>
        <v>3.5999999999999996</v>
      </c>
      <c r="I76" s="190">
        <f t="shared" si="64"/>
        <v>60</v>
      </c>
      <c r="J76" s="252">
        <f t="shared" si="64"/>
        <v>2.4000000000000004</v>
      </c>
      <c r="K76" s="252"/>
      <c r="L76" s="432">
        <f>SUM(L74:L75)</f>
        <v>25</v>
      </c>
      <c r="M76" s="433">
        <f t="shared" si="61"/>
        <v>1.6666666666666667</v>
      </c>
      <c r="N76" s="432"/>
      <c r="O76" s="432"/>
      <c r="P76" s="432"/>
      <c r="Q76" s="451">
        <f>SUM(Q74:Q75)</f>
        <v>40</v>
      </c>
      <c r="R76" s="452">
        <f t="shared" si="62"/>
        <v>2.6666666666666665</v>
      </c>
      <c r="S76" s="451"/>
      <c r="T76" s="451"/>
      <c r="U76" s="451"/>
      <c r="V76" s="478">
        <f>SUM(V74:V75)</f>
        <v>25</v>
      </c>
      <c r="W76" s="479">
        <f t="shared" si="63"/>
        <v>1.6666666666666667</v>
      </c>
      <c r="X76" s="478"/>
      <c r="Y76" s="478"/>
      <c r="Z76" s="478"/>
      <c r="AA76" s="190"/>
      <c r="AB76" s="190"/>
      <c r="AC76" s="190"/>
      <c r="AD76" s="190"/>
      <c r="AE76" s="190"/>
      <c r="AF76" s="190"/>
      <c r="AG76" s="190"/>
      <c r="AH76" s="190"/>
      <c r="AL76" s="8"/>
    </row>
    <row r="77" spans="1:38" ht="24" customHeight="1" x14ac:dyDescent="0.25">
      <c r="A77" s="522" t="s">
        <v>39</v>
      </c>
      <c r="B77" s="523"/>
      <c r="C77" s="523"/>
      <c r="D77" s="523"/>
      <c r="E77" s="523"/>
      <c r="F77" s="523"/>
      <c r="G77" s="523"/>
      <c r="H77" s="523"/>
      <c r="I77" s="523"/>
      <c r="J77" s="523"/>
      <c r="K77" s="523"/>
      <c r="L77" s="523"/>
      <c r="M77" s="523"/>
      <c r="N77" s="523"/>
      <c r="O77" s="523"/>
      <c r="P77" s="523"/>
      <c r="Q77" s="523"/>
      <c r="R77" s="523"/>
      <c r="S77" s="523"/>
      <c r="T77" s="523"/>
      <c r="U77" s="523"/>
      <c r="V77" s="523"/>
      <c r="W77" s="523"/>
      <c r="X77" s="523"/>
      <c r="Y77" s="523"/>
      <c r="Z77" s="523"/>
      <c r="AA77" s="523"/>
      <c r="AB77" s="523"/>
      <c r="AC77" s="523"/>
      <c r="AD77" s="523"/>
      <c r="AE77" s="523"/>
      <c r="AF77" s="523"/>
      <c r="AG77" s="523"/>
      <c r="AH77" s="524"/>
      <c r="AJ77" s="120"/>
      <c r="AL77" s="8"/>
    </row>
    <row r="78" spans="1:38" ht="46.15" customHeight="1" x14ac:dyDescent="0.25">
      <c r="A78" s="251">
        <v>3</v>
      </c>
      <c r="B78" s="143"/>
      <c r="C78" s="190" t="s">
        <v>109</v>
      </c>
      <c r="D78" s="354" t="s">
        <v>110</v>
      </c>
      <c r="E78" s="338">
        <v>70</v>
      </c>
      <c r="F78" s="338">
        <v>5</v>
      </c>
      <c r="G78" s="192">
        <f>E78</f>
        <v>70</v>
      </c>
      <c r="H78" s="193">
        <f t="shared" si="59"/>
        <v>2.8</v>
      </c>
      <c r="I78" s="192">
        <f>(F78*25)-G78</f>
        <v>55</v>
      </c>
      <c r="J78" s="193">
        <f t="shared" si="60"/>
        <v>2.2000000000000002</v>
      </c>
      <c r="K78" s="139" t="s">
        <v>30</v>
      </c>
      <c r="L78" s="432">
        <v>20</v>
      </c>
      <c r="M78" s="433">
        <f t="shared" ref="M78:M79" si="65">(L78*$F78)/$E78</f>
        <v>1.4285714285714286</v>
      </c>
      <c r="N78" s="432"/>
      <c r="O78" s="432"/>
      <c r="P78" s="432"/>
      <c r="Q78" s="451">
        <v>20</v>
      </c>
      <c r="R78" s="452">
        <f t="shared" ref="R78:R79" si="66">(Q78*$F78)/$E78</f>
        <v>1.4285714285714286</v>
      </c>
      <c r="S78" s="451">
        <v>10</v>
      </c>
      <c r="T78" s="451"/>
      <c r="U78" s="451"/>
      <c r="V78" s="478">
        <v>30</v>
      </c>
      <c r="W78" s="479">
        <f t="shared" ref="W78:W79" si="67">(V78*$F78)/$E78</f>
        <v>2.1428571428571428</v>
      </c>
      <c r="X78" s="478" t="s">
        <v>871</v>
      </c>
      <c r="Y78" s="478"/>
      <c r="Z78" s="478"/>
      <c r="AA78" s="190"/>
      <c r="AB78" s="190"/>
      <c r="AC78" s="190"/>
      <c r="AD78" s="190"/>
      <c r="AE78" s="190"/>
      <c r="AF78" s="190"/>
      <c r="AG78" s="190"/>
      <c r="AH78" s="190"/>
      <c r="AI78" s="35" t="s">
        <v>111</v>
      </c>
      <c r="AJ78" s="355" t="s">
        <v>112</v>
      </c>
      <c r="AK78" s="356" t="s">
        <v>113</v>
      </c>
      <c r="AL78" s="133"/>
    </row>
    <row r="79" spans="1:38" ht="15" customHeight="1" x14ac:dyDescent="0.25">
      <c r="A79" s="504" t="s">
        <v>52</v>
      </c>
      <c r="B79" s="505"/>
      <c r="C79" s="505"/>
      <c r="D79" s="506"/>
      <c r="E79" s="195">
        <f t="shared" ref="E79:L79" si="68">SUM(E78)</f>
        <v>70</v>
      </c>
      <c r="F79" s="195">
        <f t="shared" si="68"/>
        <v>5</v>
      </c>
      <c r="G79" s="195">
        <f t="shared" si="68"/>
        <v>70</v>
      </c>
      <c r="H79" s="254">
        <f t="shared" si="68"/>
        <v>2.8</v>
      </c>
      <c r="I79" s="195">
        <f t="shared" si="68"/>
        <v>55</v>
      </c>
      <c r="J79" s="254">
        <f t="shared" si="68"/>
        <v>2.2000000000000002</v>
      </c>
      <c r="K79" s="254"/>
      <c r="L79" s="435">
        <f t="shared" si="68"/>
        <v>20</v>
      </c>
      <c r="M79" s="433">
        <f t="shared" si="65"/>
        <v>1.4285714285714286</v>
      </c>
      <c r="N79" s="435"/>
      <c r="O79" s="435"/>
      <c r="P79" s="435"/>
      <c r="Q79" s="454">
        <f>SUM(Q78)</f>
        <v>20</v>
      </c>
      <c r="R79" s="452">
        <f t="shared" si="66"/>
        <v>1.4285714285714286</v>
      </c>
      <c r="S79" s="454"/>
      <c r="T79" s="454"/>
      <c r="U79" s="454"/>
      <c r="V79" s="481">
        <f>SUM(V78)</f>
        <v>30</v>
      </c>
      <c r="W79" s="479">
        <f t="shared" si="67"/>
        <v>2.1428571428571428</v>
      </c>
      <c r="X79" s="481"/>
      <c r="Y79" s="481"/>
      <c r="Z79" s="481"/>
      <c r="AA79" s="190"/>
      <c r="AB79" s="190"/>
      <c r="AC79" s="190"/>
      <c r="AD79" s="190"/>
      <c r="AE79" s="190"/>
      <c r="AF79" s="190"/>
      <c r="AG79" s="190"/>
      <c r="AH79" s="190"/>
      <c r="AL79" s="8"/>
    </row>
    <row r="80" spans="1:38" ht="25.15" customHeight="1" x14ac:dyDescent="0.25">
      <c r="A80" s="522" t="s">
        <v>53</v>
      </c>
      <c r="B80" s="523"/>
      <c r="C80" s="523"/>
      <c r="D80" s="523"/>
      <c r="E80" s="523"/>
      <c r="F80" s="523"/>
      <c r="G80" s="523"/>
      <c r="H80" s="523"/>
      <c r="I80" s="523"/>
      <c r="J80" s="523"/>
      <c r="K80" s="523"/>
      <c r="L80" s="523"/>
      <c r="M80" s="523"/>
      <c r="N80" s="523"/>
      <c r="O80" s="523"/>
      <c r="P80" s="523"/>
      <c r="Q80" s="523"/>
      <c r="R80" s="523"/>
      <c r="S80" s="523"/>
      <c r="T80" s="523"/>
      <c r="U80" s="523"/>
      <c r="V80" s="523"/>
      <c r="W80" s="523"/>
      <c r="X80" s="523"/>
      <c r="Y80" s="523"/>
      <c r="Z80" s="523"/>
      <c r="AA80" s="523"/>
      <c r="AB80" s="523"/>
      <c r="AC80" s="523"/>
      <c r="AD80" s="523"/>
      <c r="AE80" s="523"/>
      <c r="AF80" s="523"/>
      <c r="AG80" s="523"/>
      <c r="AH80" s="524"/>
      <c r="AL80" s="8"/>
    </row>
    <row r="81" spans="1:121" ht="48" customHeight="1" x14ac:dyDescent="0.25">
      <c r="A81" s="251">
        <v>5</v>
      </c>
      <c r="B81" s="143"/>
      <c r="C81" s="338" t="s">
        <v>114</v>
      </c>
      <c r="D81" s="338" t="s">
        <v>115</v>
      </c>
      <c r="E81" s="338">
        <v>40</v>
      </c>
      <c r="F81" s="338">
        <v>3</v>
      </c>
      <c r="G81" s="349">
        <f t="shared" ref="G81:G86" si="69">E81</f>
        <v>40</v>
      </c>
      <c r="H81" s="352">
        <f t="shared" si="59"/>
        <v>1.6</v>
      </c>
      <c r="I81" s="349">
        <f>(F81*25)-G81</f>
        <v>35</v>
      </c>
      <c r="J81" s="352">
        <f t="shared" si="60"/>
        <v>1.4</v>
      </c>
      <c r="K81" s="350" t="s">
        <v>26</v>
      </c>
      <c r="L81" s="432">
        <v>10</v>
      </c>
      <c r="M81" s="433">
        <f t="shared" ref="M81" si="70">(L81*$F81)/$E81</f>
        <v>0.75</v>
      </c>
      <c r="N81" s="432"/>
      <c r="O81" s="432"/>
      <c r="P81" s="432"/>
      <c r="Q81" s="451">
        <v>25</v>
      </c>
      <c r="R81" s="452">
        <f t="shared" ref="R81" si="71">(Q81*$F81)/$E81</f>
        <v>1.875</v>
      </c>
      <c r="S81" s="451">
        <v>10</v>
      </c>
      <c r="T81" s="451"/>
      <c r="U81" s="451"/>
      <c r="V81" s="478">
        <v>5</v>
      </c>
      <c r="W81" s="479">
        <f t="shared" ref="W81" si="72">(V81*$F81)/$E81</f>
        <v>0.375</v>
      </c>
      <c r="X81" s="478" t="s">
        <v>871</v>
      </c>
      <c r="Y81" s="478"/>
      <c r="Z81" s="478"/>
      <c r="AA81" s="338"/>
      <c r="AB81" s="338"/>
      <c r="AC81" s="338"/>
      <c r="AD81" s="338"/>
      <c r="AE81" s="338"/>
      <c r="AF81" s="338"/>
      <c r="AG81" s="338"/>
      <c r="AH81" s="338"/>
      <c r="AI81" s="8" t="s">
        <v>116</v>
      </c>
      <c r="AJ81" s="8" t="s">
        <v>117</v>
      </c>
      <c r="AL81" s="133"/>
    </row>
    <row r="82" spans="1:121" ht="40.5" customHeight="1" x14ac:dyDescent="0.25">
      <c r="A82" s="251">
        <v>5</v>
      </c>
      <c r="B82" s="143"/>
      <c r="C82" s="190" t="s">
        <v>118</v>
      </c>
      <c r="D82" s="190" t="s">
        <v>119</v>
      </c>
      <c r="E82" s="190">
        <v>50</v>
      </c>
      <c r="F82" s="338">
        <v>4</v>
      </c>
      <c r="G82" s="192">
        <f t="shared" si="69"/>
        <v>50</v>
      </c>
      <c r="H82" s="193">
        <f t="shared" si="59"/>
        <v>2</v>
      </c>
      <c r="I82" s="192">
        <f>(F82*25)-G82</f>
        <v>50</v>
      </c>
      <c r="J82" s="193">
        <f t="shared" si="60"/>
        <v>2</v>
      </c>
      <c r="K82" s="139" t="s">
        <v>30</v>
      </c>
      <c r="L82" s="432">
        <v>20</v>
      </c>
      <c r="M82" s="433">
        <f t="shared" ref="M82" si="73">(L82*$F82)/$E82</f>
        <v>1.6</v>
      </c>
      <c r="N82" s="432"/>
      <c r="O82" s="432"/>
      <c r="P82" s="432"/>
      <c r="Q82" s="451">
        <v>20</v>
      </c>
      <c r="R82" s="452">
        <f t="shared" ref="R82:R83" si="74">(Q82*$F82)/$E82</f>
        <v>1.6</v>
      </c>
      <c r="S82" s="451">
        <v>10</v>
      </c>
      <c r="T82" s="451"/>
      <c r="U82" s="451"/>
      <c r="V82" s="478">
        <v>10</v>
      </c>
      <c r="W82" s="479">
        <f t="shared" ref="W82:W83" si="75">(V82*$F82)/$E82</f>
        <v>0.8</v>
      </c>
      <c r="X82" s="478" t="s">
        <v>871</v>
      </c>
      <c r="Y82" s="478"/>
      <c r="Z82" s="478"/>
      <c r="AA82" s="190"/>
      <c r="AB82" s="190"/>
      <c r="AC82" s="190"/>
      <c r="AD82" s="190"/>
      <c r="AE82" s="190"/>
      <c r="AF82" s="190"/>
      <c r="AG82" s="190"/>
      <c r="AH82" s="190"/>
      <c r="AI82" s="8" t="s">
        <v>120</v>
      </c>
      <c r="AL82" s="133"/>
    </row>
    <row r="83" spans="1:121" ht="31.9" customHeight="1" x14ac:dyDescent="0.25">
      <c r="A83" s="251"/>
      <c r="B83" s="143"/>
      <c r="C83" s="190" t="s">
        <v>121</v>
      </c>
      <c r="D83" s="190" t="s">
        <v>42</v>
      </c>
      <c r="E83" s="195">
        <v>20</v>
      </c>
      <c r="F83" s="195">
        <v>2</v>
      </c>
      <c r="G83" s="192">
        <f t="shared" si="69"/>
        <v>20</v>
      </c>
      <c r="H83" s="193">
        <f t="shared" ref="H83" si="76">(G83*1)/25</f>
        <v>0.8</v>
      </c>
      <c r="I83" s="192">
        <f>(F83*25)-G83</f>
        <v>30</v>
      </c>
      <c r="J83" s="193">
        <f t="shared" ref="J83" si="77">(I83*1)/25</f>
        <v>1.2</v>
      </c>
      <c r="K83" s="139" t="s">
        <v>26</v>
      </c>
      <c r="L83" s="432"/>
      <c r="M83" s="432"/>
      <c r="N83" s="432"/>
      <c r="O83" s="432"/>
      <c r="P83" s="432"/>
      <c r="Q83" s="451">
        <v>15</v>
      </c>
      <c r="R83" s="452">
        <f t="shared" si="74"/>
        <v>1.5</v>
      </c>
      <c r="S83" s="451">
        <v>10</v>
      </c>
      <c r="T83" s="451"/>
      <c r="U83" s="451"/>
      <c r="V83" s="478">
        <v>5</v>
      </c>
      <c r="W83" s="479">
        <f t="shared" si="75"/>
        <v>0.5</v>
      </c>
      <c r="X83" s="478" t="s">
        <v>871</v>
      </c>
      <c r="Y83" s="478"/>
      <c r="Z83" s="478"/>
      <c r="AA83" s="190"/>
      <c r="AB83" s="190"/>
      <c r="AC83" s="190"/>
      <c r="AD83" s="190"/>
      <c r="AE83" s="190"/>
      <c r="AF83" s="190"/>
      <c r="AG83" s="190"/>
      <c r="AH83" s="190"/>
      <c r="AI83" s="35" t="s">
        <v>33</v>
      </c>
      <c r="AL83" s="133"/>
    </row>
    <row r="84" spans="1:121" ht="47.45" customHeight="1" x14ac:dyDescent="0.25">
      <c r="A84" s="135">
        <v>6</v>
      </c>
      <c r="B84" s="135"/>
      <c r="C84" s="191" t="s">
        <v>122</v>
      </c>
      <c r="D84" s="190" t="s">
        <v>94</v>
      </c>
      <c r="E84" s="195">
        <v>30</v>
      </c>
      <c r="F84" s="195">
        <v>1</v>
      </c>
      <c r="G84" s="192">
        <f t="shared" si="69"/>
        <v>30</v>
      </c>
      <c r="H84" s="193">
        <f>(G84*1)/30</f>
        <v>1</v>
      </c>
      <c r="I84" s="192">
        <f>(F84*30)-G84</f>
        <v>0</v>
      </c>
      <c r="J84" s="193">
        <f>(I84*1)/30</f>
        <v>0</v>
      </c>
      <c r="K84" s="139" t="s">
        <v>43</v>
      </c>
      <c r="L84" s="432"/>
      <c r="M84" s="432"/>
      <c r="N84" s="432"/>
      <c r="O84" s="432"/>
      <c r="P84" s="432"/>
      <c r="Q84" s="451"/>
      <c r="R84" s="451"/>
      <c r="S84" s="451"/>
      <c r="T84" s="451"/>
      <c r="U84" s="451"/>
      <c r="V84" s="478">
        <v>30</v>
      </c>
      <c r="W84" s="479">
        <f t="shared" ref="W84" si="78">(V84*$F84)/$E84</f>
        <v>1</v>
      </c>
      <c r="X84" s="478" t="s">
        <v>871</v>
      </c>
      <c r="Y84" s="478"/>
      <c r="Z84" s="478"/>
      <c r="AA84" s="190"/>
      <c r="AB84" s="190"/>
      <c r="AC84" s="190"/>
      <c r="AD84" s="190"/>
      <c r="AE84" s="190"/>
      <c r="AF84" s="190"/>
      <c r="AG84" s="190"/>
      <c r="AH84" s="190"/>
      <c r="AL84" s="133"/>
    </row>
    <row r="85" spans="1:121" ht="46.15" customHeight="1" x14ac:dyDescent="0.25">
      <c r="A85" s="135">
        <v>9</v>
      </c>
      <c r="B85" s="135"/>
      <c r="C85" s="190" t="s">
        <v>123</v>
      </c>
      <c r="D85" s="191" t="s">
        <v>58</v>
      </c>
      <c r="E85" s="195">
        <v>20</v>
      </c>
      <c r="F85" s="195">
        <v>0</v>
      </c>
      <c r="G85" s="192">
        <f t="shared" si="69"/>
        <v>20</v>
      </c>
      <c r="H85" s="193">
        <v>0</v>
      </c>
      <c r="I85" s="192">
        <v>0</v>
      </c>
      <c r="J85" s="193">
        <f>(I85*1)/25</f>
        <v>0</v>
      </c>
      <c r="K85" s="139" t="s">
        <v>43</v>
      </c>
      <c r="L85" s="432"/>
      <c r="M85" s="432"/>
      <c r="N85" s="432"/>
      <c r="O85" s="432"/>
      <c r="P85" s="432"/>
      <c r="Q85" s="454">
        <v>20</v>
      </c>
      <c r="R85" s="452">
        <f t="shared" ref="R85:R86" si="79">(Q85*$F85)/$E85</f>
        <v>0</v>
      </c>
      <c r="S85" s="451">
        <v>20</v>
      </c>
      <c r="T85" s="451"/>
      <c r="U85" s="451"/>
      <c r="V85" s="478"/>
      <c r="W85" s="478"/>
      <c r="X85" s="478"/>
      <c r="Y85" s="478"/>
      <c r="Z85" s="478"/>
      <c r="AA85" s="190"/>
      <c r="AB85" s="190"/>
      <c r="AC85" s="190"/>
      <c r="AD85" s="190"/>
      <c r="AE85" s="190"/>
      <c r="AF85" s="190"/>
      <c r="AG85" s="190"/>
      <c r="AH85" s="190"/>
      <c r="AI85" s="8" t="s">
        <v>124</v>
      </c>
      <c r="AL85" s="197"/>
    </row>
    <row r="86" spans="1:121" ht="52.15" customHeight="1" x14ac:dyDescent="0.25">
      <c r="A86" s="135">
        <v>8</v>
      </c>
      <c r="B86" s="143"/>
      <c r="C86" s="190" t="s">
        <v>125</v>
      </c>
      <c r="D86" s="191" t="s">
        <v>42</v>
      </c>
      <c r="E86" s="195">
        <v>40</v>
      </c>
      <c r="F86" s="195">
        <v>3</v>
      </c>
      <c r="G86" s="192">
        <f t="shared" si="69"/>
        <v>40</v>
      </c>
      <c r="H86" s="193">
        <f t="shared" ref="H86" si="80">(G86*1)/25</f>
        <v>1.6</v>
      </c>
      <c r="I86" s="192">
        <f>(F86*25)-G86</f>
        <v>35</v>
      </c>
      <c r="J86" s="193">
        <f t="shared" ref="J86" si="81">(I86*1)/25</f>
        <v>1.4</v>
      </c>
      <c r="K86" s="139" t="s">
        <v>26</v>
      </c>
      <c r="L86" s="432">
        <v>10</v>
      </c>
      <c r="M86" s="433">
        <f t="shared" ref="M86" si="82">(L86*$F86)/$E86</f>
        <v>0.75</v>
      </c>
      <c r="N86" s="432"/>
      <c r="O86" s="432"/>
      <c r="P86" s="432"/>
      <c r="Q86" s="451">
        <v>20</v>
      </c>
      <c r="R86" s="452">
        <f t="shared" si="79"/>
        <v>1.5</v>
      </c>
      <c r="S86" s="451">
        <v>10</v>
      </c>
      <c r="T86" s="451"/>
      <c r="U86" s="451"/>
      <c r="V86" s="478">
        <v>10</v>
      </c>
      <c r="W86" s="479">
        <f t="shared" ref="W86" si="83">(V86*$F86)/$E86</f>
        <v>0.75</v>
      </c>
      <c r="X86" s="478" t="s">
        <v>871</v>
      </c>
      <c r="Y86" s="478"/>
      <c r="Z86" s="478"/>
      <c r="AA86" s="190"/>
      <c r="AB86" s="190"/>
      <c r="AC86" s="190"/>
      <c r="AD86" s="190"/>
      <c r="AE86" s="190"/>
      <c r="AF86" s="190"/>
      <c r="AG86" s="190"/>
      <c r="AH86" s="190"/>
      <c r="AL86" s="197"/>
    </row>
    <row r="87" spans="1:121" s="11" customFormat="1" ht="22.15" customHeight="1" x14ac:dyDescent="0.25">
      <c r="A87" s="504" t="s">
        <v>64</v>
      </c>
      <c r="B87" s="505"/>
      <c r="C87" s="505"/>
      <c r="D87" s="506"/>
      <c r="E87" s="195">
        <f t="shared" ref="E87:J87" si="84">SUM(E81:E86)</f>
        <v>200</v>
      </c>
      <c r="F87" s="195">
        <f t="shared" si="84"/>
        <v>13</v>
      </c>
      <c r="G87" s="195">
        <f t="shared" si="84"/>
        <v>200</v>
      </c>
      <c r="H87" s="254">
        <f t="shared" si="84"/>
        <v>7</v>
      </c>
      <c r="I87" s="195">
        <f t="shared" si="84"/>
        <v>150</v>
      </c>
      <c r="J87" s="254">
        <f t="shared" si="84"/>
        <v>6</v>
      </c>
      <c r="K87" s="254"/>
      <c r="L87" s="435">
        <f>SUM(L81:L86)</f>
        <v>40</v>
      </c>
      <c r="M87" s="433">
        <f t="shared" ref="M87" si="85">(L87*$F87)/$E87</f>
        <v>2.6</v>
      </c>
      <c r="N87" s="435"/>
      <c r="O87" s="435"/>
      <c r="P87" s="435"/>
      <c r="Q87" s="454">
        <f>SUM(Q81:Q86)</f>
        <v>100</v>
      </c>
      <c r="R87" s="452">
        <f t="shared" ref="R87" si="86">(Q87*$F87)/$E87</f>
        <v>6.5</v>
      </c>
      <c r="S87" s="454"/>
      <c r="T87" s="454"/>
      <c r="U87" s="454"/>
      <c r="V87" s="481">
        <f>SUM(V81:V86)</f>
        <v>60</v>
      </c>
      <c r="W87" s="479">
        <f t="shared" ref="W87" si="87">(V87*$F87)/$E87</f>
        <v>3.9</v>
      </c>
      <c r="X87" s="481"/>
      <c r="Y87" s="481"/>
      <c r="Z87" s="481"/>
      <c r="AA87" s="190"/>
      <c r="AB87" s="190"/>
      <c r="AC87" s="190"/>
      <c r="AD87" s="190"/>
      <c r="AE87" s="190"/>
      <c r="AF87" s="190"/>
      <c r="AG87" s="190"/>
      <c r="AH87" s="190"/>
      <c r="DM87" s="175"/>
      <c r="DN87" s="175"/>
    </row>
    <row r="88" spans="1:121" ht="1.1499999999999999" customHeight="1" x14ac:dyDescent="0.25">
      <c r="A88" s="522"/>
      <c r="B88" s="523"/>
      <c r="C88" s="523"/>
      <c r="D88" s="523"/>
      <c r="E88" s="523"/>
      <c r="F88" s="523"/>
      <c r="G88" s="523"/>
      <c r="H88" s="523"/>
      <c r="I88" s="523"/>
      <c r="J88" s="523"/>
      <c r="K88" s="523"/>
      <c r="L88" s="523"/>
      <c r="M88" s="523"/>
      <c r="N88" s="523"/>
      <c r="O88" s="523"/>
      <c r="P88" s="523"/>
      <c r="Q88" s="523"/>
      <c r="R88" s="523"/>
      <c r="S88" s="523"/>
      <c r="T88" s="523"/>
      <c r="U88" s="523"/>
      <c r="V88" s="523"/>
      <c r="W88" s="523"/>
      <c r="X88" s="523"/>
      <c r="Y88" s="523"/>
      <c r="Z88" s="523"/>
      <c r="AA88" s="523"/>
      <c r="AB88" s="523"/>
      <c r="AC88" s="523"/>
      <c r="AD88" s="523"/>
      <c r="AE88" s="523"/>
      <c r="AF88" s="523"/>
      <c r="AG88" s="523"/>
      <c r="AH88" s="524"/>
      <c r="AL88" s="8"/>
    </row>
    <row r="89" spans="1:121" ht="19.899999999999999" customHeight="1" x14ac:dyDescent="0.25">
      <c r="A89" s="522" t="s">
        <v>72</v>
      </c>
      <c r="B89" s="523"/>
      <c r="C89" s="523"/>
      <c r="D89" s="523"/>
      <c r="E89" s="523"/>
      <c r="F89" s="523"/>
      <c r="G89" s="523"/>
      <c r="H89" s="523"/>
      <c r="I89" s="523"/>
      <c r="J89" s="523"/>
      <c r="K89" s="523"/>
      <c r="L89" s="523"/>
      <c r="M89" s="523"/>
      <c r="N89" s="523"/>
      <c r="O89" s="523"/>
      <c r="P89" s="523"/>
      <c r="Q89" s="523"/>
      <c r="R89" s="523"/>
      <c r="S89" s="523"/>
      <c r="T89" s="523"/>
      <c r="U89" s="523"/>
      <c r="V89" s="523"/>
      <c r="W89" s="523"/>
      <c r="X89" s="523"/>
      <c r="Y89" s="523"/>
      <c r="Z89" s="523"/>
      <c r="AA89" s="523"/>
      <c r="AB89" s="523"/>
      <c r="AC89" s="523"/>
      <c r="AD89" s="523"/>
      <c r="AE89" s="523"/>
      <c r="AF89" s="523"/>
      <c r="AG89" s="524"/>
      <c r="AH89" s="190"/>
      <c r="AL89" s="8"/>
    </row>
    <row r="90" spans="1:121" ht="34.15" customHeight="1" x14ac:dyDescent="0.25">
      <c r="A90" s="135"/>
      <c r="B90" s="135"/>
      <c r="C90" s="546" t="s">
        <v>96</v>
      </c>
      <c r="D90" s="547"/>
      <c r="E90" s="342">
        <v>60</v>
      </c>
      <c r="F90" s="342">
        <v>6</v>
      </c>
      <c r="G90" s="333">
        <f>E90</f>
        <v>60</v>
      </c>
      <c r="H90" s="334">
        <f>(G90*1)/25</f>
        <v>2.4</v>
      </c>
      <c r="I90" s="333">
        <f>(F90*25)-G90</f>
        <v>90</v>
      </c>
      <c r="J90" s="334">
        <f>(I90*1)/25</f>
        <v>3.6</v>
      </c>
      <c r="K90" s="335" t="s">
        <v>43</v>
      </c>
      <c r="L90" s="435"/>
      <c r="M90" s="435"/>
      <c r="N90" s="435"/>
      <c r="O90" s="435"/>
      <c r="P90" s="435"/>
      <c r="Q90" s="451">
        <v>0</v>
      </c>
      <c r="R90" s="452">
        <f t="shared" ref="R90" si="88">(Q90*$F90)/$E90</f>
        <v>0</v>
      </c>
      <c r="S90" s="454"/>
      <c r="T90" s="454"/>
      <c r="U90" s="454"/>
      <c r="V90" s="478">
        <f>E90</f>
        <v>60</v>
      </c>
      <c r="W90" s="479">
        <f t="shared" ref="W90" si="89">(V90*$F90)/$E90</f>
        <v>6</v>
      </c>
      <c r="X90" s="478" t="s">
        <v>871</v>
      </c>
      <c r="Y90" s="481"/>
      <c r="Z90" s="481"/>
      <c r="AA90" s="332"/>
      <c r="AB90" s="332"/>
      <c r="AC90" s="332"/>
      <c r="AD90" s="332"/>
      <c r="AE90" s="332"/>
      <c r="AF90" s="332"/>
      <c r="AG90" s="332"/>
      <c r="AH90" s="332"/>
      <c r="AI90" s="8">
        <f>4*10</f>
        <v>40</v>
      </c>
      <c r="AL90" s="197"/>
      <c r="DQ90" s="170"/>
    </row>
    <row r="91" spans="1:121" ht="1.1499999999999999" customHeight="1" x14ac:dyDescent="0.25">
      <c r="A91" s="135"/>
      <c r="B91" s="135"/>
      <c r="C91" s="190"/>
      <c r="D91" s="191"/>
      <c r="E91" s="195"/>
      <c r="F91" s="195"/>
      <c r="G91" s="192"/>
      <c r="H91" s="193"/>
      <c r="I91" s="192"/>
      <c r="J91" s="193"/>
      <c r="K91" s="139"/>
      <c r="L91" s="435"/>
      <c r="M91" s="435"/>
      <c r="N91" s="435"/>
      <c r="O91" s="435"/>
      <c r="P91" s="435"/>
      <c r="Q91" s="451"/>
      <c r="R91" s="452"/>
      <c r="S91" s="451"/>
      <c r="T91" s="451"/>
      <c r="U91" s="454"/>
      <c r="V91" s="481"/>
      <c r="W91" s="479"/>
      <c r="X91" s="481"/>
      <c r="Y91" s="481"/>
      <c r="Z91" s="481"/>
      <c r="AA91" s="135"/>
      <c r="AB91" s="135"/>
      <c r="AC91" s="135"/>
      <c r="AD91" s="135"/>
      <c r="AE91" s="135"/>
      <c r="AF91" s="135"/>
      <c r="AG91" s="135"/>
      <c r="AH91" s="190"/>
      <c r="AL91" s="197"/>
    </row>
    <row r="92" spans="1:121" ht="1.1499999999999999" customHeight="1" x14ac:dyDescent="0.25">
      <c r="A92" s="135"/>
      <c r="B92" s="143"/>
      <c r="C92" s="190"/>
      <c r="D92" s="191"/>
      <c r="E92" s="195"/>
      <c r="F92" s="195"/>
      <c r="G92" s="192"/>
      <c r="H92" s="193"/>
      <c r="I92" s="192"/>
      <c r="J92" s="193"/>
      <c r="K92" s="139"/>
      <c r="L92" s="435"/>
      <c r="M92" s="435"/>
      <c r="N92" s="435"/>
      <c r="O92" s="435"/>
      <c r="P92" s="435"/>
      <c r="Q92" s="451"/>
      <c r="R92" s="452"/>
      <c r="S92" s="451"/>
      <c r="T92" s="451"/>
      <c r="U92" s="454"/>
      <c r="V92" s="481"/>
      <c r="W92" s="479"/>
      <c r="X92" s="481"/>
      <c r="Y92" s="481"/>
      <c r="Z92" s="481"/>
      <c r="AA92" s="135"/>
      <c r="AB92" s="135"/>
      <c r="AC92" s="135"/>
      <c r="AD92" s="135"/>
      <c r="AE92" s="135"/>
      <c r="AF92" s="135"/>
      <c r="AG92" s="135"/>
      <c r="AH92" s="190"/>
      <c r="AL92" s="197"/>
    </row>
    <row r="93" spans="1:121" ht="1.1499999999999999" customHeight="1" x14ac:dyDescent="0.25">
      <c r="A93" s="135"/>
      <c r="B93" s="135"/>
      <c r="C93" s="190"/>
      <c r="D93" s="191"/>
      <c r="E93" s="195"/>
      <c r="F93" s="195"/>
      <c r="G93" s="192"/>
      <c r="H93" s="193"/>
      <c r="I93" s="192"/>
      <c r="J93" s="193"/>
      <c r="K93" s="139"/>
      <c r="L93" s="432"/>
      <c r="M93" s="432"/>
      <c r="N93" s="432"/>
      <c r="O93" s="432"/>
      <c r="P93" s="432"/>
      <c r="Q93" s="454"/>
      <c r="R93" s="452"/>
      <c r="S93" s="451"/>
      <c r="T93" s="451"/>
      <c r="U93" s="451"/>
      <c r="V93" s="478"/>
      <c r="W93" s="478"/>
      <c r="X93" s="478"/>
      <c r="Y93" s="478"/>
      <c r="Z93" s="478"/>
      <c r="AA93" s="190"/>
      <c r="AB93" s="190"/>
      <c r="AC93" s="190"/>
      <c r="AD93" s="190"/>
      <c r="AE93" s="190"/>
      <c r="AF93" s="190"/>
      <c r="AG93" s="190"/>
      <c r="AH93" s="190"/>
      <c r="AL93" s="197"/>
    </row>
    <row r="94" spans="1:121" ht="1.1499999999999999" customHeight="1" x14ac:dyDescent="0.25">
      <c r="A94" s="504"/>
      <c r="B94" s="505"/>
      <c r="C94" s="505"/>
      <c r="D94" s="506"/>
      <c r="E94" s="195"/>
      <c r="F94" s="195"/>
      <c r="G94" s="195"/>
      <c r="H94" s="254"/>
      <c r="I94" s="195"/>
      <c r="J94" s="254"/>
      <c r="K94" s="254"/>
      <c r="L94" s="435"/>
      <c r="M94" s="433"/>
      <c r="N94" s="435"/>
      <c r="O94" s="435"/>
      <c r="P94" s="435"/>
      <c r="Q94" s="454"/>
      <c r="R94" s="452"/>
      <c r="S94" s="454"/>
      <c r="T94" s="454"/>
      <c r="U94" s="454"/>
      <c r="V94" s="481"/>
      <c r="W94" s="479"/>
      <c r="X94" s="481"/>
      <c r="Y94" s="481"/>
      <c r="Z94" s="481"/>
      <c r="AA94" s="190"/>
      <c r="AB94" s="190"/>
      <c r="AC94" s="190"/>
      <c r="AD94" s="190"/>
      <c r="AE94" s="190"/>
      <c r="AF94" s="190"/>
      <c r="AG94" s="190"/>
      <c r="AH94" s="190"/>
      <c r="AL94" s="8"/>
    </row>
    <row r="95" spans="1:121" ht="20.25" customHeight="1" x14ac:dyDescent="0.25">
      <c r="A95" s="501" t="s">
        <v>74</v>
      </c>
      <c r="B95" s="502"/>
      <c r="C95" s="502"/>
      <c r="D95" s="503"/>
      <c r="E95" s="195">
        <f>SUM(E85,E86,E90)</f>
        <v>120</v>
      </c>
      <c r="F95" s="195">
        <f t="shared" ref="F95:J95" si="90">SUM(F85,F86,F90)</f>
        <v>9</v>
      </c>
      <c r="G95" s="195">
        <f t="shared" si="90"/>
        <v>120</v>
      </c>
      <c r="H95" s="254">
        <f t="shared" si="90"/>
        <v>4</v>
      </c>
      <c r="I95" s="195">
        <f t="shared" si="90"/>
        <v>125</v>
      </c>
      <c r="J95" s="254">
        <f t="shared" si="90"/>
        <v>5</v>
      </c>
      <c r="K95" s="254"/>
      <c r="L95" s="435">
        <f>SUM(L85,L86,L90)</f>
        <v>10</v>
      </c>
      <c r="M95" s="436">
        <f t="shared" ref="M95" si="91">SUM(M85,M86,M90)</f>
        <v>0.75</v>
      </c>
      <c r="N95" s="435"/>
      <c r="O95" s="435"/>
      <c r="P95" s="435"/>
      <c r="Q95" s="454">
        <f>SUM(Q85,Q86,Q90)</f>
        <v>40</v>
      </c>
      <c r="R95" s="455">
        <f t="shared" ref="R95" si="92">SUM(R85,R86,R90)</f>
        <v>1.5</v>
      </c>
      <c r="S95" s="454"/>
      <c r="T95" s="454"/>
      <c r="U95" s="454"/>
      <c r="V95" s="481">
        <f>SUM(V85,V86,V90)</f>
        <v>70</v>
      </c>
      <c r="W95" s="482">
        <f t="shared" ref="W95" si="93">SUM(W85,W86,W90)</f>
        <v>6.75</v>
      </c>
      <c r="X95" s="481"/>
      <c r="Y95" s="481"/>
      <c r="Z95" s="481"/>
      <c r="AA95" s="190"/>
      <c r="AB95" s="190"/>
      <c r="AC95" s="190"/>
      <c r="AD95" s="190"/>
      <c r="AE95" s="190"/>
      <c r="AF95" s="190"/>
      <c r="AG95" s="190"/>
      <c r="AH95" s="190"/>
      <c r="AL95" s="8"/>
    </row>
    <row r="96" spans="1:121" ht="22.9" customHeight="1" x14ac:dyDescent="0.25">
      <c r="A96" s="504" t="s">
        <v>126</v>
      </c>
      <c r="B96" s="505"/>
      <c r="C96" s="505"/>
      <c r="D96" s="506"/>
      <c r="E96" s="190">
        <f t="shared" ref="E96:J96" si="94">SUM(E76,E79,E87,E90)</f>
        <v>420</v>
      </c>
      <c r="F96" s="190">
        <f t="shared" si="94"/>
        <v>30</v>
      </c>
      <c r="G96" s="190">
        <f t="shared" si="94"/>
        <v>420</v>
      </c>
      <c r="H96" s="252">
        <f t="shared" si="94"/>
        <v>15.799999999999999</v>
      </c>
      <c r="I96" s="190">
        <f>SUM(I76,I79,I87,I90)</f>
        <v>355</v>
      </c>
      <c r="J96" s="252">
        <f t="shared" si="94"/>
        <v>14.200000000000001</v>
      </c>
      <c r="K96" s="252"/>
      <c r="L96" s="432">
        <f>SUM(L76,L79,L87,L90)</f>
        <v>85</v>
      </c>
      <c r="M96" s="432">
        <f>SUM(M76,M79,M87,M90)</f>
        <v>5.6952380952380954</v>
      </c>
      <c r="N96" s="432"/>
      <c r="O96" s="432"/>
      <c r="P96" s="432"/>
      <c r="Q96" s="451">
        <f>SUM(Q76,Q79,Q87,Q90)</f>
        <v>160</v>
      </c>
      <c r="R96" s="453">
        <f>SUM(R76,R79,R87,R90)</f>
        <v>10.595238095238095</v>
      </c>
      <c r="S96" s="451"/>
      <c r="T96" s="451"/>
      <c r="U96" s="451"/>
      <c r="V96" s="478">
        <f>SUM(V76,V79,V87,V90)</f>
        <v>175</v>
      </c>
      <c r="W96" s="480">
        <f>SUM(W76,W79,W87,W90)</f>
        <v>13.709523809523809</v>
      </c>
      <c r="X96" s="478"/>
      <c r="Y96" s="478"/>
      <c r="Z96" s="478"/>
      <c r="AA96" s="190"/>
      <c r="AB96" s="190"/>
      <c r="AC96" s="190"/>
      <c r="AD96" s="190"/>
      <c r="AE96" s="190"/>
      <c r="AF96" s="190"/>
      <c r="AG96" s="190"/>
      <c r="AH96" s="190"/>
      <c r="AL96" s="8"/>
    </row>
    <row r="97" spans="1:38" ht="6.75" customHeight="1" x14ac:dyDescent="0.25">
      <c r="A97" s="507" t="s">
        <v>101</v>
      </c>
      <c r="B97" s="508"/>
      <c r="C97" s="508"/>
      <c r="D97" s="508"/>
      <c r="E97" s="508"/>
      <c r="F97" s="508"/>
      <c r="G97" s="508"/>
      <c r="H97" s="508"/>
      <c r="I97" s="508"/>
      <c r="J97" s="508"/>
      <c r="K97" s="508"/>
      <c r="L97" s="508"/>
      <c r="M97" s="508"/>
      <c r="N97" s="508"/>
      <c r="O97" s="508"/>
      <c r="P97" s="508"/>
      <c r="Q97" s="508"/>
      <c r="R97" s="508"/>
      <c r="S97" s="508"/>
      <c r="T97" s="508"/>
      <c r="U97" s="508"/>
      <c r="V97" s="508"/>
      <c r="W97" s="508"/>
      <c r="X97" s="508"/>
      <c r="Y97" s="508"/>
      <c r="Z97" s="508"/>
      <c r="AA97" s="508"/>
      <c r="AB97" s="508"/>
      <c r="AC97" s="508"/>
      <c r="AD97" s="508"/>
      <c r="AE97" s="508"/>
      <c r="AF97" s="508"/>
      <c r="AG97" s="508"/>
      <c r="AH97" s="509"/>
      <c r="AL97" s="8"/>
    </row>
    <row r="98" spans="1:38" ht="23.25" customHeight="1" x14ac:dyDescent="0.25">
      <c r="A98" s="510"/>
      <c r="B98" s="511"/>
      <c r="C98" s="511"/>
      <c r="D98" s="511"/>
      <c r="E98" s="511"/>
      <c r="F98" s="511"/>
      <c r="G98" s="511"/>
      <c r="H98" s="511"/>
      <c r="I98" s="511"/>
      <c r="J98" s="511"/>
      <c r="K98" s="511"/>
      <c r="L98" s="511"/>
      <c r="M98" s="511"/>
      <c r="N98" s="511"/>
      <c r="O98" s="511"/>
      <c r="P98" s="511"/>
      <c r="Q98" s="511"/>
      <c r="R98" s="511"/>
      <c r="S98" s="511"/>
      <c r="T98" s="511"/>
      <c r="U98" s="511"/>
      <c r="V98" s="511"/>
      <c r="W98" s="511"/>
      <c r="X98" s="511"/>
      <c r="Y98" s="511"/>
      <c r="Z98" s="511"/>
      <c r="AA98" s="511"/>
      <c r="AB98" s="511"/>
      <c r="AC98" s="511"/>
      <c r="AD98" s="511"/>
      <c r="AE98" s="511"/>
      <c r="AF98" s="511"/>
      <c r="AG98" s="511"/>
      <c r="AH98" s="512"/>
      <c r="AL98" s="8"/>
    </row>
    <row r="99" spans="1:38" ht="23.25" customHeight="1" x14ac:dyDescent="0.25">
      <c r="A99" s="513" t="s">
        <v>2</v>
      </c>
      <c r="B99" s="247"/>
      <c r="C99" s="513" t="s">
        <v>3</v>
      </c>
      <c r="D99" s="513" t="s">
        <v>4</v>
      </c>
      <c r="E99" s="504" t="s">
        <v>5</v>
      </c>
      <c r="F99" s="506"/>
      <c r="G99" s="522" t="s">
        <v>127</v>
      </c>
      <c r="H99" s="523"/>
      <c r="I99" s="523"/>
      <c r="J99" s="523"/>
      <c r="K99" s="523"/>
      <c r="L99" s="523"/>
      <c r="M99" s="523"/>
      <c r="N99" s="523"/>
      <c r="O99" s="523"/>
      <c r="P99" s="523"/>
      <c r="Q99" s="523"/>
      <c r="R99" s="523"/>
      <c r="S99" s="523"/>
      <c r="T99" s="523"/>
      <c r="U99" s="523"/>
      <c r="V99" s="523"/>
      <c r="W99" s="523"/>
      <c r="X99" s="523"/>
      <c r="Y99" s="523"/>
      <c r="Z99" s="523"/>
      <c r="AA99" s="523"/>
      <c r="AB99" s="523"/>
      <c r="AC99" s="523"/>
      <c r="AD99" s="523"/>
      <c r="AE99" s="523"/>
      <c r="AF99" s="523"/>
      <c r="AG99" s="523"/>
      <c r="AH99" s="524"/>
      <c r="AL99" s="500"/>
    </row>
    <row r="100" spans="1:38" ht="43.5" customHeight="1" x14ac:dyDescent="0.25">
      <c r="A100" s="514"/>
      <c r="B100" s="248"/>
      <c r="C100" s="514"/>
      <c r="D100" s="514"/>
      <c r="E100" s="516" t="s">
        <v>78</v>
      </c>
      <c r="F100" s="516" t="s">
        <v>8</v>
      </c>
      <c r="G100" s="516" t="s">
        <v>9</v>
      </c>
      <c r="H100" s="519" t="s">
        <v>8</v>
      </c>
      <c r="I100" s="516" t="s">
        <v>10</v>
      </c>
      <c r="J100" s="519" t="s">
        <v>8</v>
      </c>
      <c r="K100" s="519" t="s">
        <v>11</v>
      </c>
      <c r="L100" s="522" t="s">
        <v>12</v>
      </c>
      <c r="M100" s="523"/>
      <c r="N100" s="523"/>
      <c r="O100" s="523"/>
      <c r="P100" s="523"/>
      <c r="Q100" s="523"/>
      <c r="R100" s="523"/>
      <c r="S100" s="523"/>
      <c r="T100" s="523"/>
      <c r="U100" s="523"/>
      <c r="V100" s="523"/>
      <c r="W100" s="523"/>
      <c r="X100" s="523"/>
      <c r="Y100" s="523"/>
      <c r="Z100" s="524"/>
      <c r="AA100" s="522" t="s">
        <v>13</v>
      </c>
      <c r="AB100" s="523"/>
      <c r="AC100" s="523"/>
      <c r="AD100" s="523"/>
      <c r="AE100" s="523"/>
      <c r="AF100" s="523"/>
      <c r="AG100" s="523"/>
      <c r="AH100" s="524"/>
      <c r="AL100" s="500"/>
    </row>
    <row r="101" spans="1:38" ht="39.75" customHeight="1" x14ac:dyDescent="0.25">
      <c r="A101" s="514"/>
      <c r="B101" s="248"/>
      <c r="C101" s="514"/>
      <c r="D101" s="514"/>
      <c r="E101" s="517"/>
      <c r="F101" s="517"/>
      <c r="G101" s="517"/>
      <c r="H101" s="520"/>
      <c r="I101" s="517"/>
      <c r="J101" s="520"/>
      <c r="K101" s="520"/>
      <c r="L101" s="554" t="s">
        <v>79</v>
      </c>
      <c r="M101" s="555"/>
      <c r="N101" s="555"/>
      <c r="O101" s="555"/>
      <c r="P101" s="556"/>
      <c r="Q101" s="551" t="s">
        <v>80</v>
      </c>
      <c r="R101" s="552"/>
      <c r="S101" s="552"/>
      <c r="T101" s="552"/>
      <c r="U101" s="553"/>
      <c r="V101" s="548" t="s">
        <v>81</v>
      </c>
      <c r="W101" s="549"/>
      <c r="X101" s="549"/>
      <c r="Y101" s="549"/>
      <c r="Z101" s="550"/>
      <c r="AA101" s="522" t="s">
        <v>17</v>
      </c>
      <c r="AB101" s="523"/>
      <c r="AC101" s="523"/>
      <c r="AD101" s="524"/>
      <c r="AE101" s="522" t="s">
        <v>18</v>
      </c>
      <c r="AF101" s="523"/>
      <c r="AG101" s="523"/>
      <c r="AH101" s="524"/>
      <c r="AL101" s="500"/>
    </row>
    <row r="102" spans="1:38" ht="39" customHeight="1" x14ac:dyDescent="0.25">
      <c r="A102" s="515"/>
      <c r="B102" s="249"/>
      <c r="C102" s="515"/>
      <c r="D102" s="515"/>
      <c r="E102" s="518"/>
      <c r="F102" s="518"/>
      <c r="G102" s="518"/>
      <c r="H102" s="521"/>
      <c r="I102" s="518"/>
      <c r="J102" s="521"/>
      <c r="K102" s="521"/>
      <c r="L102" s="430" t="s">
        <v>19</v>
      </c>
      <c r="M102" s="431" t="s">
        <v>8</v>
      </c>
      <c r="N102" s="431" t="s">
        <v>20</v>
      </c>
      <c r="O102" s="430" t="s">
        <v>21</v>
      </c>
      <c r="P102" s="430" t="s">
        <v>22</v>
      </c>
      <c r="Q102" s="449" t="s">
        <v>19</v>
      </c>
      <c r="R102" s="450" t="s">
        <v>8</v>
      </c>
      <c r="S102" s="450" t="s">
        <v>20</v>
      </c>
      <c r="T102" s="449" t="s">
        <v>21</v>
      </c>
      <c r="U102" s="449" t="s">
        <v>22</v>
      </c>
      <c r="V102" s="476" t="s">
        <v>19</v>
      </c>
      <c r="W102" s="477" t="s">
        <v>8</v>
      </c>
      <c r="X102" s="477" t="s">
        <v>20</v>
      </c>
      <c r="Y102" s="476" t="s">
        <v>21</v>
      </c>
      <c r="Z102" s="476" t="s">
        <v>22</v>
      </c>
      <c r="AA102" s="135" t="s">
        <v>19</v>
      </c>
      <c r="AB102" s="250" t="s">
        <v>8</v>
      </c>
      <c r="AC102" s="250" t="s">
        <v>20</v>
      </c>
      <c r="AD102" s="135" t="s">
        <v>21</v>
      </c>
      <c r="AE102" s="135" t="s">
        <v>19</v>
      </c>
      <c r="AF102" s="250" t="s">
        <v>8</v>
      </c>
      <c r="AG102" s="250" t="s">
        <v>20</v>
      </c>
      <c r="AH102" s="135" t="s">
        <v>21</v>
      </c>
      <c r="AL102" s="500"/>
    </row>
    <row r="103" spans="1:38" ht="23.25" customHeight="1" x14ac:dyDescent="0.25">
      <c r="A103" s="522" t="s">
        <v>23</v>
      </c>
      <c r="B103" s="523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3"/>
      <c r="W103" s="523"/>
      <c r="X103" s="523"/>
      <c r="Y103" s="523"/>
      <c r="Z103" s="523"/>
      <c r="AA103" s="523"/>
      <c r="AB103" s="523"/>
      <c r="AC103" s="523"/>
      <c r="AD103" s="523"/>
      <c r="AE103" s="523"/>
      <c r="AF103" s="523"/>
      <c r="AG103" s="523"/>
      <c r="AH103" s="524"/>
      <c r="AJ103" s="120"/>
      <c r="AL103" s="8"/>
    </row>
    <row r="104" spans="1:38" ht="27" customHeight="1" x14ac:dyDescent="0.25">
      <c r="A104" s="135">
        <v>1</v>
      </c>
      <c r="B104" s="135"/>
      <c r="C104" s="191" t="s">
        <v>128</v>
      </c>
      <c r="D104" s="190" t="s">
        <v>129</v>
      </c>
      <c r="E104" s="190">
        <v>20</v>
      </c>
      <c r="F104" s="338">
        <v>1</v>
      </c>
      <c r="G104" s="192">
        <f>E104</f>
        <v>20</v>
      </c>
      <c r="H104" s="193">
        <f>(G104*1)/25</f>
        <v>0.8</v>
      </c>
      <c r="I104" s="192">
        <f>(F104*25)-G104</f>
        <v>5</v>
      </c>
      <c r="J104" s="193">
        <f>(I104*1)/25</f>
        <v>0.2</v>
      </c>
      <c r="K104" s="139" t="s">
        <v>26</v>
      </c>
      <c r="L104" s="432">
        <v>10</v>
      </c>
      <c r="M104" s="433">
        <f t="shared" ref="M104:M105" si="95">(L104*$F104)/$E104</f>
        <v>0.5</v>
      </c>
      <c r="N104" s="432"/>
      <c r="O104" s="432"/>
      <c r="P104" s="432"/>
      <c r="Q104" s="451"/>
      <c r="R104" s="451"/>
      <c r="S104" s="451"/>
      <c r="T104" s="451"/>
      <c r="U104" s="451"/>
      <c r="V104" s="483">
        <v>10</v>
      </c>
      <c r="W104" s="479">
        <f t="shared" ref="W104:W105" si="96">(V104*$F104)/$E104</f>
        <v>0.5</v>
      </c>
      <c r="X104" s="478" t="s">
        <v>871</v>
      </c>
      <c r="Y104" s="483"/>
      <c r="Z104" s="483"/>
      <c r="AA104" s="192"/>
      <c r="AB104" s="192"/>
      <c r="AC104" s="192"/>
      <c r="AD104" s="192"/>
      <c r="AE104" s="190"/>
      <c r="AF104" s="190"/>
      <c r="AG104" s="190"/>
      <c r="AH104" s="190"/>
      <c r="AL104" s="133"/>
    </row>
    <row r="105" spans="1:38" ht="15" customHeight="1" x14ac:dyDescent="0.25">
      <c r="A105" s="504" t="s">
        <v>37</v>
      </c>
      <c r="B105" s="505"/>
      <c r="C105" s="505"/>
      <c r="D105" s="506"/>
      <c r="E105" s="190">
        <f t="shared" ref="E105:L105" si="97">SUM(E104)</f>
        <v>20</v>
      </c>
      <c r="F105" s="190">
        <f t="shared" si="97"/>
        <v>1</v>
      </c>
      <c r="G105" s="190">
        <f t="shared" si="97"/>
        <v>20</v>
      </c>
      <c r="H105" s="252">
        <f t="shared" si="97"/>
        <v>0.8</v>
      </c>
      <c r="I105" s="190">
        <f t="shared" si="97"/>
        <v>5</v>
      </c>
      <c r="J105" s="252">
        <f t="shared" si="97"/>
        <v>0.2</v>
      </c>
      <c r="K105" s="252"/>
      <c r="L105" s="432">
        <f t="shared" si="97"/>
        <v>10</v>
      </c>
      <c r="M105" s="433">
        <f t="shared" si="95"/>
        <v>0.5</v>
      </c>
      <c r="N105" s="432"/>
      <c r="O105" s="432"/>
      <c r="P105" s="432"/>
      <c r="Q105" s="451">
        <f>SUM(Q104)</f>
        <v>0</v>
      </c>
      <c r="R105" s="452">
        <f t="shared" ref="R105" si="98">(Q105*$F105)/$E105</f>
        <v>0</v>
      </c>
      <c r="S105" s="451"/>
      <c r="T105" s="451"/>
      <c r="U105" s="451"/>
      <c r="V105" s="478">
        <f>SUM(V104)</f>
        <v>10</v>
      </c>
      <c r="W105" s="479">
        <f t="shared" si="96"/>
        <v>0.5</v>
      </c>
      <c r="X105" s="478"/>
      <c r="Y105" s="478"/>
      <c r="Z105" s="478"/>
      <c r="AA105" s="190"/>
      <c r="AB105" s="190"/>
      <c r="AC105" s="190"/>
      <c r="AD105" s="190"/>
      <c r="AE105" s="190"/>
      <c r="AF105" s="190"/>
      <c r="AG105" s="190"/>
      <c r="AH105" s="190"/>
      <c r="AL105" s="8"/>
    </row>
    <row r="106" spans="1:38" ht="17.45" customHeight="1" x14ac:dyDescent="0.25">
      <c r="A106" s="522" t="s">
        <v>39</v>
      </c>
      <c r="B106" s="523"/>
      <c r="C106" s="523"/>
      <c r="D106" s="523"/>
      <c r="E106" s="523"/>
      <c r="F106" s="523"/>
      <c r="G106" s="523"/>
      <c r="H106" s="523"/>
      <c r="I106" s="523"/>
      <c r="J106" s="523"/>
      <c r="K106" s="523"/>
      <c r="L106" s="523"/>
      <c r="M106" s="523"/>
      <c r="N106" s="523"/>
      <c r="O106" s="523"/>
      <c r="P106" s="523"/>
      <c r="Q106" s="523"/>
      <c r="R106" s="523"/>
      <c r="S106" s="523"/>
      <c r="T106" s="523"/>
      <c r="U106" s="523"/>
      <c r="V106" s="523"/>
      <c r="W106" s="523"/>
      <c r="X106" s="523"/>
      <c r="Y106" s="523"/>
      <c r="Z106" s="523"/>
      <c r="AA106" s="523"/>
      <c r="AB106" s="523"/>
      <c r="AC106" s="523"/>
      <c r="AD106" s="523"/>
      <c r="AE106" s="523"/>
      <c r="AF106" s="523"/>
      <c r="AG106" s="523"/>
      <c r="AH106" s="524"/>
      <c r="AL106" s="8"/>
    </row>
    <row r="107" spans="1:38" ht="36.6" customHeight="1" x14ac:dyDescent="0.25">
      <c r="A107" s="251">
        <v>2</v>
      </c>
      <c r="B107" s="143"/>
      <c r="C107" s="190" t="s">
        <v>130</v>
      </c>
      <c r="D107" s="190" t="s">
        <v>131</v>
      </c>
      <c r="E107" s="190">
        <v>80</v>
      </c>
      <c r="F107" s="338">
        <v>7</v>
      </c>
      <c r="G107" s="192">
        <f>E107</f>
        <v>80</v>
      </c>
      <c r="H107" s="193">
        <f>(G107*1)/25</f>
        <v>3.2</v>
      </c>
      <c r="I107" s="192">
        <f>(F107*25)-G107</f>
        <v>95</v>
      </c>
      <c r="J107" s="193">
        <f>(I107*1)/25</f>
        <v>3.8</v>
      </c>
      <c r="K107" s="427" t="s">
        <v>698</v>
      </c>
      <c r="L107" s="432">
        <v>15</v>
      </c>
      <c r="M107" s="433">
        <f t="shared" ref="M107:M108" si="99">(L107*$F107)/$E107</f>
        <v>1.3125</v>
      </c>
      <c r="N107" s="432"/>
      <c r="O107" s="432"/>
      <c r="P107" s="432"/>
      <c r="Q107" s="451">
        <v>50</v>
      </c>
      <c r="R107" s="452">
        <f t="shared" ref="R107:R108" si="100">(Q107*$F107)/$E107</f>
        <v>4.375</v>
      </c>
      <c r="S107" s="451">
        <v>10</v>
      </c>
      <c r="T107" s="451"/>
      <c r="U107" s="451"/>
      <c r="V107" s="484">
        <v>15</v>
      </c>
      <c r="W107" s="479">
        <f t="shared" ref="W107:W108" si="101">(V107*$F107)/$E107</f>
        <v>1.3125</v>
      </c>
      <c r="X107" s="478" t="s">
        <v>871</v>
      </c>
      <c r="Y107" s="483"/>
      <c r="Z107" s="483"/>
      <c r="AA107" s="190"/>
      <c r="AB107" s="190"/>
      <c r="AC107" s="190"/>
      <c r="AD107" s="190"/>
      <c r="AE107" s="190"/>
      <c r="AF107" s="190"/>
      <c r="AG107" s="190"/>
      <c r="AH107" s="190"/>
      <c r="AL107" s="133"/>
    </row>
    <row r="108" spans="1:38" ht="34.9" customHeight="1" x14ac:dyDescent="0.25">
      <c r="A108" s="251">
        <v>3</v>
      </c>
      <c r="B108" s="143"/>
      <c r="C108" s="191" t="s">
        <v>133</v>
      </c>
      <c r="D108" s="190" t="s">
        <v>134</v>
      </c>
      <c r="E108" s="190">
        <v>50</v>
      </c>
      <c r="F108" s="338">
        <v>4</v>
      </c>
      <c r="G108" s="192">
        <f>E108</f>
        <v>50</v>
      </c>
      <c r="H108" s="193">
        <f>(G108*1)/25</f>
        <v>2</v>
      </c>
      <c r="I108" s="192">
        <f>(F108*25)-G108</f>
        <v>50</v>
      </c>
      <c r="J108" s="193">
        <f>(I108*1)/25</f>
        <v>2</v>
      </c>
      <c r="K108" s="139" t="s">
        <v>30</v>
      </c>
      <c r="L108" s="432">
        <v>10</v>
      </c>
      <c r="M108" s="433">
        <f t="shared" si="99"/>
        <v>0.8</v>
      </c>
      <c r="N108" s="432"/>
      <c r="O108" s="432"/>
      <c r="P108" s="432"/>
      <c r="Q108" s="451">
        <v>30</v>
      </c>
      <c r="R108" s="452">
        <f t="shared" si="100"/>
        <v>2.4</v>
      </c>
      <c r="S108" s="451">
        <v>10</v>
      </c>
      <c r="T108" s="451"/>
      <c r="U108" s="451"/>
      <c r="V108" s="484">
        <v>10</v>
      </c>
      <c r="W108" s="479">
        <f t="shared" si="101"/>
        <v>0.8</v>
      </c>
      <c r="X108" s="478" t="s">
        <v>871</v>
      </c>
      <c r="Y108" s="483"/>
      <c r="Z108" s="483"/>
      <c r="AA108" s="190"/>
      <c r="AB108" s="190"/>
      <c r="AC108" s="190"/>
      <c r="AD108" s="190"/>
      <c r="AE108" s="190"/>
      <c r="AF108" s="190"/>
      <c r="AG108" s="190"/>
      <c r="AH108" s="190"/>
      <c r="AL108" s="133"/>
    </row>
    <row r="109" spans="1:38" ht="15" customHeight="1" x14ac:dyDescent="0.25">
      <c r="A109" s="504" t="s">
        <v>52</v>
      </c>
      <c r="B109" s="505"/>
      <c r="C109" s="505"/>
      <c r="D109" s="506"/>
      <c r="E109" s="190">
        <f t="shared" ref="E109:L109" si="102">SUM(E107:E108)</f>
        <v>130</v>
      </c>
      <c r="F109" s="190">
        <f t="shared" si="102"/>
        <v>11</v>
      </c>
      <c r="G109" s="190">
        <f t="shared" si="102"/>
        <v>130</v>
      </c>
      <c r="H109" s="252">
        <f t="shared" si="102"/>
        <v>5.2</v>
      </c>
      <c r="I109" s="190">
        <f t="shared" si="102"/>
        <v>145</v>
      </c>
      <c r="J109" s="252">
        <f t="shared" si="102"/>
        <v>5.8</v>
      </c>
      <c r="K109" s="252"/>
      <c r="L109" s="432">
        <f t="shared" si="102"/>
        <v>25</v>
      </c>
      <c r="M109" s="433">
        <f t="shared" ref="M109" si="103">(L109*$F109)/$E109</f>
        <v>2.1153846153846154</v>
      </c>
      <c r="N109" s="432"/>
      <c r="O109" s="432"/>
      <c r="P109" s="432"/>
      <c r="Q109" s="451">
        <f>SUM(Q107:Q108)</f>
        <v>80</v>
      </c>
      <c r="R109" s="452">
        <f t="shared" ref="R109" si="104">(Q109*$F109)/$E109</f>
        <v>6.7692307692307692</v>
      </c>
      <c r="S109" s="451"/>
      <c r="T109" s="451"/>
      <c r="U109" s="451"/>
      <c r="V109" s="478">
        <f>SUM(V107:V108)</f>
        <v>25</v>
      </c>
      <c r="W109" s="479">
        <f t="shared" ref="W109" si="105">(V109*$F109)/$E109</f>
        <v>2.1153846153846154</v>
      </c>
      <c r="X109" s="481"/>
      <c r="Y109" s="481"/>
      <c r="Z109" s="481"/>
      <c r="AA109" s="190"/>
      <c r="AB109" s="190"/>
      <c r="AC109" s="190"/>
      <c r="AD109" s="190"/>
      <c r="AE109" s="190"/>
      <c r="AF109" s="190"/>
      <c r="AG109" s="190"/>
      <c r="AH109" s="190"/>
      <c r="AL109" s="8"/>
    </row>
    <row r="110" spans="1:38" ht="25.9" customHeight="1" x14ac:dyDescent="0.25">
      <c r="A110" s="522" t="s">
        <v>135</v>
      </c>
      <c r="B110" s="523"/>
      <c r="C110" s="523"/>
      <c r="D110" s="523"/>
      <c r="E110" s="523"/>
      <c r="F110" s="523"/>
      <c r="G110" s="523"/>
      <c r="H110" s="523"/>
      <c r="I110" s="523"/>
      <c r="J110" s="523"/>
      <c r="K110" s="523"/>
      <c r="L110" s="523"/>
      <c r="M110" s="523"/>
      <c r="N110" s="523"/>
      <c r="O110" s="523"/>
      <c r="P110" s="523"/>
      <c r="Q110" s="523"/>
      <c r="R110" s="523"/>
      <c r="S110" s="523"/>
      <c r="T110" s="523"/>
      <c r="U110" s="523"/>
      <c r="V110" s="523"/>
      <c r="W110" s="523"/>
      <c r="X110" s="523"/>
      <c r="Y110" s="523"/>
      <c r="Z110" s="523"/>
      <c r="AA110" s="523"/>
      <c r="AB110" s="523"/>
      <c r="AC110" s="523"/>
      <c r="AD110" s="523"/>
      <c r="AE110" s="523"/>
      <c r="AF110" s="523"/>
      <c r="AG110" s="523"/>
      <c r="AH110" s="524"/>
      <c r="AJ110" s="121"/>
      <c r="AL110" s="8"/>
    </row>
    <row r="111" spans="1:38" ht="39.6" customHeight="1" x14ac:dyDescent="0.25">
      <c r="A111" s="251">
        <v>4</v>
      </c>
      <c r="B111" s="143"/>
      <c r="C111" s="190" t="s">
        <v>136</v>
      </c>
      <c r="D111" s="190" t="s">
        <v>42</v>
      </c>
      <c r="E111" s="190">
        <v>40</v>
      </c>
      <c r="F111" s="190">
        <v>3</v>
      </c>
      <c r="G111" s="192">
        <f t="shared" ref="G111:G115" si="106">E111</f>
        <v>40</v>
      </c>
      <c r="H111" s="193">
        <f>(G111*1)/25</f>
        <v>1.6</v>
      </c>
      <c r="I111" s="192">
        <f>(F111*25)-G111</f>
        <v>35</v>
      </c>
      <c r="J111" s="193">
        <f>(I111*1)/25</f>
        <v>1.4</v>
      </c>
      <c r="K111" s="534" t="s">
        <v>26</v>
      </c>
      <c r="L111" s="432"/>
      <c r="M111" s="433"/>
      <c r="N111" s="432"/>
      <c r="O111" s="432"/>
      <c r="P111" s="432"/>
      <c r="Q111" s="451">
        <v>20</v>
      </c>
      <c r="R111" s="452">
        <f t="shared" ref="R111:R113" si="107">(Q111*$F111)/$E111</f>
        <v>1.5</v>
      </c>
      <c r="S111" s="451">
        <v>10</v>
      </c>
      <c r="T111" s="451"/>
      <c r="U111" s="451"/>
      <c r="V111" s="478">
        <v>20</v>
      </c>
      <c r="W111" s="479">
        <f t="shared" ref="W111" si="108">(V111*$F111)/$E111</f>
        <v>1.5</v>
      </c>
      <c r="X111" s="478" t="s">
        <v>871</v>
      </c>
      <c r="Y111" s="478"/>
      <c r="Z111" s="478"/>
      <c r="AA111" s="190"/>
      <c r="AB111" s="190"/>
      <c r="AC111" s="190"/>
      <c r="AD111" s="190"/>
      <c r="AE111" s="190"/>
      <c r="AF111" s="190"/>
      <c r="AG111" s="190"/>
      <c r="AH111" s="190"/>
      <c r="AJ111" s="121"/>
      <c r="AL111" s="133"/>
    </row>
    <row r="112" spans="1:38" ht="39.6" customHeight="1" x14ac:dyDescent="0.25">
      <c r="A112" s="135"/>
      <c r="B112" s="143"/>
      <c r="C112" s="190" t="s">
        <v>137</v>
      </c>
      <c r="D112" s="190" t="s">
        <v>138</v>
      </c>
      <c r="E112" s="195">
        <v>30</v>
      </c>
      <c r="F112" s="190">
        <v>2</v>
      </c>
      <c r="G112" s="192">
        <f t="shared" si="106"/>
        <v>30</v>
      </c>
      <c r="H112" s="193">
        <f>(G112*1)/25</f>
        <v>1.2</v>
      </c>
      <c r="I112" s="192">
        <f>(F112*25)-G112</f>
        <v>20</v>
      </c>
      <c r="J112" s="193">
        <f>(I112*1)/25</f>
        <v>0.8</v>
      </c>
      <c r="K112" s="535"/>
      <c r="L112" s="432"/>
      <c r="M112" s="432"/>
      <c r="N112" s="432"/>
      <c r="O112" s="432"/>
      <c r="P112" s="432"/>
      <c r="Q112" s="451"/>
      <c r="R112" s="451"/>
      <c r="S112" s="451"/>
      <c r="T112" s="451"/>
      <c r="U112" s="451"/>
      <c r="V112" s="478">
        <v>30</v>
      </c>
      <c r="W112" s="479">
        <f t="shared" ref="W112" si="109">(V112*$F112)/$E112</f>
        <v>2</v>
      </c>
      <c r="X112" s="478" t="s">
        <v>871</v>
      </c>
      <c r="Y112" s="478"/>
      <c r="Z112" s="478"/>
      <c r="AA112" s="190"/>
      <c r="AB112" s="190"/>
      <c r="AC112" s="190"/>
      <c r="AD112" s="190"/>
      <c r="AE112" s="190"/>
      <c r="AF112" s="190"/>
      <c r="AG112" s="190"/>
      <c r="AH112" s="190"/>
      <c r="AJ112" s="120"/>
      <c r="AL112" s="133"/>
    </row>
    <row r="113" spans="1:121" ht="33" customHeight="1" x14ac:dyDescent="0.25">
      <c r="A113" s="251">
        <v>5</v>
      </c>
      <c r="B113" s="143"/>
      <c r="C113" s="190" t="s">
        <v>139</v>
      </c>
      <c r="D113" s="190" t="s">
        <v>140</v>
      </c>
      <c r="E113" s="190">
        <v>30</v>
      </c>
      <c r="F113" s="190">
        <v>2</v>
      </c>
      <c r="G113" s="192">
        <f t="shared" si="106"/>
        <v>30</v>
      </c>
      <c r="H113" s="193">
        <f>(G113*1)/25</f>
        <v>1.2</v>
      </c>
      <c r="I113" s="192">
        <f>(F113*25)-G113</f>
        <v>20</v>
      </c>
      <c r="J113" s="193">
        <f>(I113*1)/25</f>
        <v>0.8</v>
      </c>
      <c r="K113" s="139" t="s">
        <v>26</v>
      </c>
      <c r="L113" s="432">
        <v>15</v>
      </c>
      <c r="M113" s="433">
        <f t="shared" ref="M113" si="110">(L113*$F113)/$E113</f>
        <v>1</v>
      </c>
      <c r="N113" s="432"/>
      <c r="O113" s="432"/>
      <c r="P113" s="432"/>
      <c r="Q113" s="451">
        <v>5</v>
      </c>
      <c r="R113" s="452">
        <f t="shared" si="107"/>
        <v>0.33333333333333331</v>
      </c>
      <c r="S113" s="451">
        <v>10</v>
      </c>
      <c r="T113" s="451"/>
      <c r="U113" s="451"/>
      <c r="V113" s="478">
        <v>10</v>
      </c>
      <c r="W113" s="479">
        <f>(V113*$F113)/$E113</f>
        <v>0.66666666666666663</v>
      </c>
      <c r="X113" s="478" t="s">
        <v>871</v>
      </c>
      <c r="Y113" s="478"/>
      <c r="Z113" s="478"/>
      <c r="AA113" s="190"/>
      <c r="AB113" s="190"/>
      <c r="AC113" s="190"/>
      <c r="AD113" s="190"/>
      <c r="AE113" s="190"/>
      <c r="AF113" s="190"/>
      <c r="AG113" s="190"/>
      <c r="AH113" s="190"/>
      <c r="AL113" s="133"/>
    </row>
    <row r="114" spans="1:121" ht="33" customHeight="1" x14ac:dyDescent="0.25">
      <c r="A114" s="135"/>
      <c r="B114" s="135"/>
      <c r="C114" s="332" t="s">
        <v>141</v>
      </c>
      <c r="D114" s="332" t="s">
        <v>42</v>
      </c>
      <c r="E114" s="342">
        <v>20</v>
      </c>
      <c r="F114" s="332">
        <v>1</v>
      </c>
      <c r="G114" s="333">
        <f t="shared" si="106"/>
        <v>20</v>
      </c>
      <c r="H114" s="334">
        <f>(G114*1)/25</f>
        <v>0.8</v>
      </c>
      <c r="I114" s="333">
        <f>(F114*25)-G114</f>
        <v>5</v>
      </c>
      <c r="J114" s="334">
        <f>(I114*1)/25</f>
        <v>0.2</v>
      </c>
      <c r="K114" s="335" t="s">
        <v>43</v>
      </c>
      <c r="L114" s="432"/>
      <c r="M114" s="433"/>
      <c r="N114" s="432"/>
      <c r="O114" s="432"/>
      <c r="P114" s="432"/>
      <c r="Q114" s="451"/>
      <c r="R114" s="452"/>
      <c r="S114" s="451"/>
      <c r="T114" s="451"/>
      <c r="U114" s="451"/>
      <c r="V114" s="478">
        <v>20</v>
      </c>
      <c r="W114" s="479">
        <f>(V114*$F114)/$E114</f>
        <v>1</v>
      </c>
      <c r="X114" s="478" t="s">
        <v>871</v>
      </c>
      <c r="Y114" s="478"/>
      <c r="Z114" s="478"/>
      <c r="AA114" s="332"/>
      <c r="AB114" s="332"/>
      <c r="AC114" s="332"/>
      <c r="AD114" s="332"/>
      <c r="AE114" s="332"/>
      <c r="AF114" s="332"/>
      <c r="AG114" s="332"/>
      <c r="AH114" s="332"/>
      <c r="AL114" s="133"/>
    </row>
    <row r="115" spans="1:121" ht="39.6" customHeight="1" x14ac:dyDescent="0.25">
      <c r="A115" s="135">
        <v>6</v>
      </c>
      <c r="B115" s="135"/>
      <c r="C115" s="191" t="s">
        <v>142</v>
      </c>
      <c r="D115" s="190" t="s">
        <v>94</v>
      </c>
      <c r="E115" s="195">
        <v>30</v>
      </c>
      <c r="F115" s="195">
        <v>1</v>
      </c>
      <c r="G115" s="192">
        <f t="shared" si="106"/>
        <v>30</v>
      </c>
      <c r="H115" s="193">
        <f>(G115*1)/30</f>
        <v>1</v>
      </c>
      <c r="I115" s="192">
        <f>(F115*30)-G115</f>
        <v>0</v>
      </c>
      <c r="J115" s="193">
        <f>(I115*1)/30</f>
        <v>0</v>
      </c>
      <c r="K115" s="139" t="s">
        <v>43</v>
      </c>
      <c r="L115" s="432"/>
      <c r="M115" s="432"/>
      <c r="N115" s="432"/>
      <c r="O115" s="432"/>
      <c r="P115" s="432"/>
      <c r="Q115" s="451"/>
      <c r="R115" s="451"/>
      <c r="S115" s="451"/>
      <c r="T115" s="451"/>
      <c r="U115" s="451"/>
      <c r="V115" s="478">
        <v>30</v>
      </c>
      <c r="W115" s="479">
        <f t="shared" ref="W115" si="111">(V115*$F115)/$E115</f>
        <v>1</v>
      </c>
      <c r="X115" s="478" t="s">
        <v>871</v>
      </c>
      <c r="Y115" s="478"/>
      <c r="Z115" s="478"/>
      <c r="AA115" s="190"/>
      <c r="AB115" s="190"/>
      <c r="AC115" s="190"/>
      <c r="AD115" s="190"/>
      <c r="AE115" s="190"/>
      <c r="AF115" s="190"/>
      <c r="AG115" s="190"/>
      <c r="AH115" s="190"/>
      <c r="AL115" s="133"/>
    </row>
    <row r="116" spans="1:121" s="11" customFormat="1" ht="18" customHeight="1" x14ac:dyDescent="0.25">
      <c r="A116" s="504" t="s">
        <v>64</v>
      </c>
      <c r="B116" s="505"/>
      <c r="C116" s="505"/>
      <c r="D116" s="506"/>
      <c r="E116" s="195">
        <f t="shared" ref="E116:J116" si="112">SUM(E111:E115)</f>
        <v>150</v>
      </c>
      <c r="F116" s="195">
        <f t="shared" si="112"/>
        <v>9</v>
      </c>
      <c r="G116" s="195">
        <f t="shared" si="112"/>
        <v>150</v>
      </c>
      <c r="H116" s="254">
        <f t="shared" si="112"/>
        <v>5.8</v>
      </c>
      <c r="I116" s="195">
        <f t="shared" si="112"/>
        <v>80</v>
      </c>
      <c r="J116" s="254">
        <f t="shared" si="112"/>
        <v>3.2</v>
      </c>
      <c r="K116" s="254"/>
      <c r="L116" s="435">
        <f>SUM(L111:L115)</f>
        <v>15</v>
      </c>
      <c r="M116" s="433">
        <f t="shared" ref="M116" si="113">(L116*$F116)/$E116</f>
        <v>0.9</v>
      </c>
      <c r="N116" s="435"/>
      <c r="O116" s="435"/>
      <c r="P116" s="435"/>
      <c r="Q116" s="454">
        <f>SUM(Q111:Q115)</f>
        <v>25</v>
      </c>
      <c r="R116" s="452">
        <f t="shared" ref="R116" si="114">(Q116*$F116)/$E116</f>
        <v>1.5</v>
      </c>
      <c r="S116" s="454"/>
      <c r="T116" s="454"/>
      <c r="U116" s="454"/>
      <c r="V116" s="481">
        <f>SUM(V111:V115)</f>
        <v>110</v>
      </c>
      <c r="W116" s="479">
        <f t="shared" ref="W116" si="115">(V116*$F116)/$E116</f>
        <v>6.6</v>
      </c>
      <c r="X116" s="481"/>
      <c r="Y116" s="481"/>
      <c r="Z116" s="481"/>
      <c r="AA116" s="190"/>
      <c r="AB116" s="190"/>
      <c r="AC116" s="190"/>
      <c r="AD116" s="190"/>
      <c r="AE116" s="190"/>
      <c r="AF116" s="190"/>
      <c r="AG116" s="190"/>
      <c r="AH116" s="190"/>
      <c r="DM116" s="175"/>
      <c r="DN116" s="175"/>
    </row>
    <row r="117" spans="1:121" ht="21.6" customHeight="1" x14ac:dyDescent="0.25">
      <c r="A117" s="522" t="s">
        <v>65</v>
      </c>
      <c r="B117" s="523"/>
      <c r="C117" s="523"/>
      <c r="D117" s="523"/>
      <c r="E117" s="523"/>
      <c r="F117" s="523"/>
      <c r="G117" s="523"/>
      <c r="H117" s="523"/>
      <c r="I117" s="523"/>
      <c r="J117" s="523"/>
      <c r="K117" s="523"/>
      <c r="L117" s="523"/>
      <c r="M117" s="523"/>
      <c r="N117" s="523"/>
      <c r="O117" s="523"/>
      <c r="P117" s="523"/>
      <c r="Q117" s="523"/>
      <c r="R117" s="523"/>
      <c r="S117" s="523"/>
      <c r="T117" s="523"/>
      <c r="U117" s="523"/>
      <c r="V117" s="523"/>
      <c r="W117" s="523"/>
      <c r="X117" s="523"/>
      <c r="Y117" s="523"/>
      <c r="Z117" s="523"/>
      <c r="AA117" s="523"/>
      <c r="AB117" s="523"/>
      <c r="AC117" s="523"/>
      <c r="AD117" s="523"/>
      <c r="AE117" s="523"/>
      <c r="AF117" s="523"/>
      <c r="AG117" s="523"/>
      <c r="AH117" s="524"/>
      <c r="AL117" s="8"/>
    </row>
    <row r="118" spans="1:121" ht="41.45" customHeight="1" x14ac:dyDescent="0.25">
      <c r="A118" s="255"/>
      <c r="B118" s="255"/>
      <c r="C118" s="190" t="s">
        <v>143</v>
      </c>
      <c r="D118" s="191" t="s">
        <v>144</v>
      </c>
      <c r="E118" s="195">
        <v>20</v>
      </c>
      <c r="F118" s="195">
        <v>2</v>
      </c>
      <c r="G118" s="192">
        <f t="shared" ref="G118" si="116">E118</f>
        <v>20</v>
      </c>
      <c r="H118" s="193">
        <f t="shared" ref="H118" si="117">(G118*1)/25</f>
        <v>0.8</v>
      </c>
      <c r="I118" s="192">
        <f>(F118*25)-G118</f>
        <v>30</v>
      </c>
      <c r="J118" s="193">
        <f t="shared" ref="J118" si="118">(I118*1)/25</f>
        <v>1.2</v>
      </c>
      <c r="K118" s="139" t="s">
        <v>43</v>
      </c>
      <c r="L118" s="432"/>
      <c r="M118" s="432"/>
      <c r="N118" s="432"/>
      <c r="O118" s="432"/>
      <c r="P118" s="432"/>
      <c r="Q118" s="451"/>
      <c r="R118" s="451"/>
      <c r="S118" s="451"/>
      <c r="T118" s="451"/>
      <c r="U118" s="451"/>
      <c r="V118" s="478">
        <v>20</v>
      </c>
      <c r="W118" s="479">
        <f t="shared" ref="W118:W120" si="119">(V118*$F118)/$E118</f>
        <v>2</v>
      </c>
      <c r="X118" s="478" t="s">
        <v>871</v>
      </c>
      <c r="Y118" s="478"/>
      <c r="Z118" s="478"/>
      <c r="AA118" s="190"/>
      <c r="AB118" s="190"/>
      <c r="AC118" s="190"/>
      <c r="AD118" s="190"/>
      <c r="AE118" s="190"/>
      <c r="AF118" s="190"/>
      <c r="AG118" s="190"/>
      <c r="AH118" s="190"/>
      <c r="AI118" s="8" t="s">
        <v>145</v>
      </c>
      <c r="AL118" s="197"/>
    </row>
    <row r="119" spans="1:121" ht="2.4500000000000002" hidden="1" customHeight="1" x14ac:dyDescent="0.25">
      <c r="A119" s="135"/>
      <c r="B119" s="143"/>
      <c r="C119" s="190"/>
      <c r="D119" s="191"/>
      <c r="E119" s="190"/>
      <c r="F119" s="190"/>
      <c r="G119" s="192"/>
      <c r="H119" s="193"/>
      <c r="I119" s="192"/>
      <c r="J119" s="193"/>
      <c r="K119" s="139"/>
      <c r="L119" s="432"/>
      <c r="M119" s="432"/>
      <c r="N119" s="432"/>
      <c r="O119" s="432"/>
      <c r="P119" s="432"/>
      <c r="Q119" s="451"/>
      <c r="R119" s="451"/>
      <c r="S119" s="451"/>
      <c r="T119" s="451"/>
      <c r="U119" s="451"/>
      <c r="V119" s="478"/>
      <c r="W119" s="479"/>
      <c r="X119" s="478"/>
      <c r="Y119" s="478"/>
      <c r="Z119" s="478"/>
      <c r="AA119" s="190"/>
      <c r="AB119" s="190"/>
      <c r="AC119" s="190"/>
      <c r="AD119" s="190"/>
      <c r="AE119" s="190"/>
      <c r="AF119" s="190"/>
      <c r="AG119" s="190"/>
      <c r="AH119" s="190"/>
      <c r="AL119" s="197"/>
    </row>
    <row r="120" spans="1:121" ht="22.9" customHeight="1" x14ac:dyDescent="0.25">
      <c r="A120" s="504" t="s">
        <v>71</v>
      </c>
      <c r="B120" s="505"/>
      <c r="C120" s="505"/>
      <c r="D120" s="506"/>
      <c r="E120" s="195">
        <f>SUM(E118:E119)</f>
        <v>20</v>
      </c>
      <c r="F120" s="195">
        <f t="shared" ref="F120" si="120">SUM(F118:F119)</f>
        <v>2</v>
      </c>
      <c r="G120" s="195">
        <f t="shared" ref="G120" si="121">SUM(G118:G119)</f>
        <v>20</v>
      </c>
      <c r="H120" s="195">
        <f t="shared" ref="H120" si="122">SUM(H118:H119)</f>
        <v>0.8</v>
      </c>
      <c r="I120" s="195">
        <f t="shared" ref="I120" si="123">SUM(I118:I119)</f>
        <v>30</v>
      </c>
      <c r="J120" s="195">
        <f t="shared" ref="J120" si="124">SUM(J118:J119)</f>
        <v>1.2</v>
      </c>
      <c r="K120" s="254"/>
      <c r="L120" s="435">
        <f>SUM(L118:L119)</f>
        <v>0</v>
      </c>
      <c r="M120" s="433">
        <f t="shared" ref="M120" si="125">(L120*$F120)/$E120</f>
        <v>0</v>
      </c>
      <c r="N120" s="435"/>
      <c r="O120" s="435"/>
      <c r="P120" s="435"/>
      <c r="Q120" s="454">
        <f>SUM(Q118:Q119)</f>
        <v>0</v>
      </c>
      <c r="R120" s="452">
        <f t="shared" ref="R120" si="126">(Q120*$F120)/$E120</f>
        <v>0</v>
      </c>
      <c r="S120" s="454"/>
      <c r="T120" s="454"/>
      <c r="U120" s="454"/>
      <c r="V120" s="481">
        <f>SUM(V118:V119)</f>
        <v>20</v>
      </c>
      <c r="W120" s="479">
        <f t="shared" si="119"/>
        <v>2</v>
      </c>
      <c r="X120" s="481"/>
      <c r="Y120" s="481"/>
      <c r="Z120" s="481"/>
      <c r="AA120" s="190"/>
      <c r="AB120" s="190"/>
      <c r="AC120" s="190"/>
      <c r="AD120" s="190"/>
      <c r="AE120" s="190"/>
      <c r="AF120" s="190"/>
      <c r="AG120" s="190"/>
      <c r="AH120" s="190"/>
      <c r="AL120" s="8"/>
    </row>
    <row r="121" spans="1:121" ht="19.899999999999999" customHeight="1" x14ac:dyDescent="0.25">
      <c r="A121" s="522" t="s">
        <v>72</v>
      </c>
      <c r="B121" s="523"/>
      <c r="C121" s="523"/>
      <c r="D121" s="523"/>
      <c r="E121" s="523"/>
      <c r="F121" s="523"/>
      <c r="G121" s="523"/>
      <c r="H121" s="523"/>
      <c r="I121" s="523"/>
      <c r="J121" s="523"/>
      <c r="K121" s="523"/>
      <c r="L121" s="523"/>
      <c r="M121" s="523"/>
      <c r="N121" s="523"/>
      <c r="O121" s="523"/>
      <c r="P121" s="523"/>
      <c r="Q121" s="523"/>
      <c r="R121" s="523"/>
      <c r="S121" s="523"/>
      <c r="T121" s="523"/>
      <c r="U121" s="523"/>
      <c r="V121" s="523"/>
      <c r="W121" s="523"/>
      <c r="X121" s="523"/>
      <c r="Y121" s="523"/>
      <c r="Z121" s="523"/>
      <c r="AA121" s="523"/>
      <c r="AB121" s="523"/>
      <c r="AC121" s="523"/>
      <c r="AD121" s="523"/>
      <c r="AE121" s="523"/>
      <c r="AF121" s="523"/>
      <c r="AG121" s="524"/>
      <c r="AH121" s="190"/>
      <c r="AL121" s="8"/>
    </row>
    <row r="122" spans="1:121" ht="49.9" customHeight="1" x14ac:dyDescent="0.25">
      <c r="A122" s="135">
        <v>6</v>
      </c>
      <c r="B122" s="135"/>
      <c r="C122" s="341" t="s">
        <v>146</v>
      </c>
      <c r="D122" s="332" t="s">
        <v>874</v>
      </c>
      <c r="E122" s="342">
        <v>20</v>
      </c>
      <c r="F122" s="342">
        <v>2</v>
      </c>
      <c r="G122" s="333">
        <f t="shared" ref="G122" si="127">E122</f>
        <v>20</v>
      </c>
      <c r="H122" s="334">
        <f>(G122*1)/30</f>
        <v>0.66666666666666663</v>
      </c>
      <c r="I122" s="333">
        <f>(F122*25)-G122</f>
        <v>30</v>
      </c>
      <c r="J122" s="334">
        <f>(I122*1)/30</f>
        <v>1</v>
      </c>
      <c r="K122" s="335" t="s">
        <v>43</v>
      </c>
      <c r="L122" s="432"/>
      <c r="M122" s="432"/>
      <c r="N122" s="432"/>
      <c r="O122" s="432"/>
      <c r="P122" s="432"/>
      <c r="Q122" s="451"/>
      <c r="R122" s="452"/>
      <c r="S122" s="451"/>
      <c r="T122" s="451"/>
      <c r="U122" s="451"/>
      <c r="V122" s="478">
        <v>20</v>
      </c>
      <c r="W122" s="479">
        <f t="shared" ref="W122" si="128">(V122*$F122)/$E122</f>
        <v>2</v>
      </c>
      <c r="X122" s="478" t="s">
        <v>871</v>
      </c>
      <c r="Y122" s="478"/>
      <c r="Z122" s="478"/>
      <c r="AA122" s="332"/>
      <c r="AB122" s="332"/>
      <c r="AC122" s="332"/>
      <c r="AD122" s="332"/>
      <c r="AE122" s="332"/>
      <c r="AF122" s="332"/>
      <c r="AG122" s="332"/>
      <c r="AH122" s="332"/>
      <c r="AL122" s="133"/>
    </row>
    <row r="123" spans="1:121" ht="34.15" customHeight="1" x14ac:dyDescent="0.25">
      <c r="A123" s="135"/>
      <c r="B123" s="135"/>
      <c r="C123" s="546" t="s">
        <v>147</v>
      </c>
      <c r="D123" s="547"/>
      <c r="E123" s="342">
        <v>20</v>
      </c>
      <c r="F123" s="342">
        <v>2</v>
      </c>
      <c r="G123" s="333">
        <f>E123</f>
        <v>20</v>
      </c>
      <c r="H123" s="334">
        <f>(G123*1)/25</f>
        <v>0.8</v>
      </c>
      <c r="I123" s="333">
        <f>(F123*25)-G123</f>
        <v>30</v>
      </c>
      <c r="J123" s="334">
        <f>(I123*1)/25</f>
        <v>1.2</v>
      </c>
      <c r="K123" s="335" t="s">
        <v>43</v>
      </c>
      <c r="L123" s="435"/>
      <c r="M123" s="435"/>
      <c r="N123" s="435"/>
      <c r="O123" s="435"/>
      <c r="P123" s="435"/>
      <c r="Q123" s="451">
        <v>0</v>
      </c>
      <c r="R123" s="452">
        <f t="shared" ref="R123" si="129">(Q123*$F123)/$E123</f>
        <v>0</v>
      </c>
      <c r="S123" s="454"/>
      <c r="T123" s="454"/>
      <c r="U123" s="454"/>
      <c r="V123" s="478">
        <f>E123</f>
        <v>20</v>
      </c>
      <c r="W123" s="479">
        <f t="shared" ref="W123" si="130">(V123*$F123)/$E123</f>
        <v>2</v>
      </c>
      <c r="X123" s="478" t="s">
        <v>871</v>
      </c>
      <c r="Y123" s="481"/>
      <c r="Z123" s="481"/>
      <c r="AA123" s="332"/>
      <c r="AB123" s="332"/>
      <c r="AC123" s="332"/>
      <c r="AD123" s="332"/>
      <c r="AE123" s="332"/>
      <c r="AF123" s="332"/>
      <c r="AG123" s="332"/>
      <c r="AH123" s="332"/>
      <c r="AI123" s="8">
        <f>2*10</f>
        <v>20</v>
      </c>
      <c r="AL123" s="197"/>
      <c r="DQ123" s="170"/>
    </row>
    <row r="124" spans="1:121" ht="1.9" customHeight="1" x14ac:dyDescent="0.25">
      <c r="A124" s="255"/>
      <c r="B124" s="255"/>
      <c r="C124" s="190"/>
      <c r="D124" s="191"/>
      <c r="E124" s="195"/>
      <c r="F124" s="195"/>
      <c r="G124" s="192"/>
      <c r="H124" s="193"/>
      <c r="I124" s="192"/>
      <c r="J124" s="193"/>
      <c r="K124" s="139"/>
      <c r="L124" s="432"/>
      <c r="M124" s="432"/>
      <c r="N124" s="432"/>
      <c r="O124" s="432"/>
      <c r="P124" s="432"/>
      <c r="Q124" s="451"/>
      <c r="R124" s="451"/>
      <c r="S124" s="451"/>
      <c r="T124" s="451"/>
      <c r="U124" s="451"/>
      <c r="V124" s="478"/>
      <c r="W124" s="479"/>
      <c r="X124" s="478"/>
      <c r="Y124" s="478"/>
      <c r="Z124" s="478"/>
      <c r="AA124" s="190"/>
      <c r="AB124" s="190"/>
      <c r="AC124" s="190"/>
      <c r="AD124" s="190"/>
      <c r="AE124" s="190"/>
      <c r="AF124" s="190"/>
      <c r="AG124" s="190"/>
      <c r="AH124" s="190"/>
      <c r="AL124" s="197"/>
    </row>
    <row r="125" spans="1:121" ht="1.9" customHeight="1" x14ac:dyDescent="0.25">
      <c r="A125" s="255"/>
      <c r="B125" s="255"/>
      <c r="C125" s="190"/>
      <c r="D125" s="191"/>
      <c r="E125" s="195"/>
      <c r="F125" s="195"/>
      <c r="G125" s="192"/>
      <c r="H125" s="193"/>
      <c r="I125" s="192"/>
      <c r="J125" s="193"/>
      <c r="K125" s="139"/>
      <c r="L125" s="432"/>
      <c r="M125" s="432"/>
      <c r="N125" s="432"/>
      <c r="O125" s="432"/>
      <c r="P125" s="432"/>
      <c r="Q125" s="451"/>
      <c r="R125" s="451"/>
      <c r="S125" s="451"/>
      <c r="T125" s="451"/>
      <c r="U125" s="451"/>
      <c r="V125" s="478"/>
      <c r="W125" s="479"/>
      <c r="X125" s="478"/>
      <c r="Y125" s="478"/>
      <c r="Z125" s="478"/>
      <c r="AA125" s="190"/>
      <c r="AB125" s="190"/>
      <c r="AC125" s="190"/>
      <c r="AD125" s="190"/>
      <c r="AE125" s="190"/>
      <c r="AF125" s="190"/>
      <c r="AG125" s="190"/>
      <c r="AH125" s="190"/>
      <c r="AL125" s="197"/>
    </row>
    <row r="126" spans="1:121" ht="1.9" customHeight="1" x14ac:dyDescent="0.25">
      <c r="A126" s="135"/>
      <c r="B126" s="143"/>
      <c r="C126" s="190"/>
      <c r="D126" s="191"/>
      <c r="E126" s="190"/>
      <c r="F126" s="190"/>
      <c r="G126" s="192"/>
      <c r="H126" s="193"/>
      <c r="I126" s="192"/>
      <c r="J126" s="193"/>
      <c r="K126" s="139"/>
      <c r="L126" s="432"/>
      <c r="M126" s="432"/>
      <c r="N126" s="432"/>
      <c r="O126" s="432"/>
      <c r="P126" s="432"/>
      <c r="Q126" s="451"/>
      <c r="R126" s="451"/>
      <c r="S126" s="451"/>
      <c r="T126" s="451"/>
      <c r="U126" s="451"/>
      <c r="V126" s="478"/>
      <c r="W126" s="479"/>
      <c r="X126" s="478"/>
      <c r="Y126" s="478"/>
      <c r="Z126" s="478"/>
      <c r="AA126" s="190"/>
      <c r="AB126" s="190"/>
      <c r="AC126" s="190"/>
      <c r="AD126" s="190"/>
      <c r="AE126" s="190"/>
      <c r="AF126" s="190"/>
      <c r="AG126" s="190"/>
      <c r="AH126" s="190"/>
      <c r="AL126" s="197"/>
    </row>
    <row r="127" spans="1:121" ht="1.9" customHeight="1" x14ac:dyDescent="0.25">
      <c r="A127" s="135"/>
      <c r="B127" s="135"/>
      <c r="C127" s="190"/>
      <c r="D127" s="191"/>
      <c r="E127" s="190"/>
      <c r="F127" s="190"/>
      <c r="G127" s="192"/>
      <c r="H127" s="193"/>
      <c r="I127" s="192"/>
      <c r="J127" s="193"/>
      <c r="K127" s="139"/>
      <c r="L127" s="432"/>
      <c r="M127" s="432"/>
      <c r="N127" s="432"/>
      <c r="O127" s="432"/>
      <c r="P127" s="432"/>
      <c r="Q127" s="451"/>
      <c r="R127" s="451"/>
      <c r="S127" s="451"/>
      <c r="T127" s="451"/>
      <c r="U127" s="451"/>
      <c r="V127" s="478"/>
      <c r="W127" s="479"/>
      <c r="X127" s="478"/>
      <c r="Y127" s="478"/>
      <c r="Z127" s="478"/>
      <c r="AA127" s="190"/>
      <c r="AB127" s="190"/>
      <c r="AC127" s="190"/>
      <c r="AD127" s="190"/>
      <c r="AE127" s="190"/>
      <c r="AF127" s="190"/>
      <c r="AG127" s="190"/>
      <c r="AH127" s="190"/>
      <c r="AL127" s="197"/>
    </row>
    <row r="128" spans="1:121" ht="32.25" customHeight="1" x14ac:dyDescent="0.25">
      <c r="A128" s="522" t="s">
        <v>97</v>
      </c>
      <c r="B128" s="523"/>
      <c r="C128" s="523"/>
      <c r="D128" s="523"/>
      <c r="E128" s="523"/>
      <c r="F128" s="523"/>
      <c r="G128" s="523"/>
      <c r="H128" s="523"/>
      <c r="I128" s="523"/>
      <c r="J128" s="523"/>
      <c r="K128" s="523"/>
      <c r="L128" s="523"/>
      <c r="M128" s="523"/>
      <c r="N128" s="523"/>
      <c r="O128" s="523"/>
      <c r="P128" s="523"/>
      <c r="Q128" s="523"/>
      <c r="R128" s="523"/>
      <c r="S128" s="523"/>
      <c r="T128" s="523"/>
      <c r="U128" s="523"/>
      <c r="V128" s="523"/>
      <c r="W128" s="523"/>
      <c r="X128" s="523"/>
      <c r="Y128" s="523"/>
      <c r="Z128" s="523"/>
      <c r="AA128" s="523"/>
      <c r="AB128" s="523"/>
      <c r="AC128" s="523"/>
      <c r="AD128" s="523"/>
      <c r="AE128" s="523"/>
      <c r="AF128" s="523"/>
      <c r="AG128" s="523"/>
      <c r="AH128" s="524"/>
      <c r="AL128" s="8"/>
    </row>
    <row r="129" spans="1:38" ht="40.9" customHeight="1" x14ac:dyDescent="0.25">
      <c r="A129" s="135">
        <v>9</v>
      </c>
      <c r="B129" s="143"/>
      <c r="C129" s="190" t="s">
        <v>98</v>
      </c>
      <c r="D129" s="190" t="s">
        <v>148</v>
      </c>
      <c r="E129" s="190">
        <v>75</v>
      </c>
      <c r="F129" s="190">
        <v>3</v>
      </c>
      <c r="G129" s="192">
        <v>5</v>
      </c>
      <c r="H129" s="193">
        <f>(G129*1)/25</f>
        <v>0.2</v>
      </c>
      <c r="I129" s="192">
        <f>(F129*25)-G129</f>
        <v>70</v>
      </c>
      <c r="J129" s="193">
        <f>(I129*1)/25</f>
        <v>2.8</v>
      </c>
      <c r="K129" s="139" t="s">
        <v>26</v>
      </c>
      <c r="L129" s="432"/>
      <c r="M129" s="432"/>
      <c r="N129" s="432"/>
      <c r="O129" s="432"/>
      <c r="P129" s="432"/>
      <c r="Q129" s="451"/>
      <c r="R129" s="451"/>
      <c r="S129" s="451"/>
      <c r="T129" s="451"/>
      <c r="U129" s="451"/>
      <c r="V129" s="478"/>
      <c r="W129" s="478"/>
      <c r="X129" s="478"/>
      <c r="Y129" s="478"/>
      <c r="Z129" s="478"/>
      <c r="AA129" s="190"/>
      <c r="AB129" s="190"/>
      <c r="AC129" s="190"/>
      <c r="AD129" s="190"/>
      <c r="AE129" s="190">
        <f>E129</f>
        <v>75</v>
      </c>
      <c r="AF129" s="194">
        <f t="shared" ref="AF129" si="131">(AE129*$F129)/$E129</f>
        <v>3</v>
      </c>
      <c r="AG129" s="190"/>
      <c r="AH129" s="190"/>
      <c r="AL129" s="133"/>
    </row>
    <row r="130" spans="1:38" ht="21" customHeight="1" x14ac:dyDescent="0.25">
      <c r="A130" s="501" t="s">
        <v>74</v>
      </c>
      <c r="B130" s="502"/>
      <c r="C130" s="502"/>
      <c r="D130" s="503"/>
      <c r="E130" s="195">
        <f>SUM(E118,E122:E123)</f>
        <v>60</v>
      </c>
      <c r="F130" s="195">
        <f>SUM(F118,F122:F123)</f>
        <v>6</v>
      </c>
      <c r="G130" s="195">
        <f t="shared" ref="G130:J130" si="132">SUM(G118,G122:G123)</f>
        <v>60</v>
      </c>
      <c r="H130" s="254">
        <f t="shared" si="132"/>
        <v>2.2666666666666666</v>
      </c>
      <c r="I130" s="195">
        <f t="shared" si="132"/>
        <v>90</v>
      </c>
      <c r="J130" s="254">
        <f t="shared" si="132"/>
        <v>3.4000000000000004</v>
      </c>
      <c r="K130" s="254"/>
      <c r="L130" s="435">
        <f>SUM(L118,L122:L123)</f>
        <v>0</v>
      </c>
      <c r="M130" s="436">
        <f>SUM(M118,M122:M123)</f>
        <v>0</v>
      </c>
      <c r="N130" s="435"/>
      <c r="O130" s="435"/>
      <c r="P130" s="435"/>
      <c r="Q130" s="454">
        <f>SUM(Q118,Q122:Q123)</f>
        <v>0</v>
      </c>
      <c r="R130" s="455">
        <f>SUM(R118,R122:R123)</f>
        <v>0</v>
      </c>
      <c r="S130" s="454"/>
      <c r="T130" s="454"/>
      <c r="U130" s="454"/>
      <c r="V130" s="481">
        <f>SUM(V118,V122:V123)</f>
        <v>60</v>
      </c>
      <c r="W130" s="482">
        <f>SUM(W118,W122:W123)</f>
        <v>6</v>
      </c>
      <c r="X130" s="478" t="s">
        <v>871</v>
      </c>
      <c r="Y130" s="481"/>
      <c r="Z130" s="481"/>
      <c r="AA130" s="190"/>
      <c r="AB130" s="190"/>
      <c r="AC130" s="190"/>
      <c r="AD130" s="190"/>
      <c r="AE130" s="195">
        <f>SUM(AE118,AE122:AE123)</f>
        <v>0</v>
      </c>
      <c r="AF130" s="254">
        <f>SUM(AF118,AF122:AF123)</f>
        <v>0</v>
      </c>
      <c r="AG130" s="190"/>
      <c r="AH130" s="190"/>
      <c r="AL130" s="8"/>
    </row>
    <row r="131" spans="1:38" ht="21" customHeight="1" x14ac:dyDescent="0.25">
      <c r="A131" s="504" t="s">
        <v>149</v>
      </c>
      <c r="B131" s="505"/>
      <c r="C131" s="505"/>
      <c r="D131" s="506"/>
      <c r="E131" s="190">
        <f>SUM(E105,E109,E116,E120,E122:E123,E129)</f>
        <v>435</v>
      </c>
      <c r="F131" s="190">
        <f>SUM(F105,F109,F116,F120,F122:F123,F129)</f>
        <v>30</v>
      </c>
      <c r="G131" s="190">
        <f t="shared" ref="G131:J131" si="133">SUM(G105,G109,G116,G120,G122:G123,G129)</f>
        <v>365</v>
      </c>
      <c r="H131" s="252">
        <f t="shared" si="133"/>
        <v>14.266666666666667</v>
      </c>
      <c r="I131" s="190">
        <f>SUM(I105,I109,I116,I120,I122:I123,I129)</f>
        <v>390</v>
      </c>
      <c r="J131" s="252">
        <f t="shared" si="133"/>
        <v>15.399999999999999</v>
      </c>
      <c r="K131" s="252"/>
      <c r="L131" s="432">
        <f>SUM(L105,L109,L116,L120,L122:L123,L129)</f>
        <v>50</v>
      </c>
      <c r="M131" s="434">
        <f>SUM(M105,M109,M116,M120,M122:M123,M129)</f>
        <v>3.5153846153846153</v>
      </c>
      <c r="N131" s="432"/>
      <c r="O131" s="432"/>
      <c r="P131" s="432"/>
      <c r="Q131" s="451">
        <f>SUM(Q105,Q109,Q116,Q120,Q122:Q123,Q129)</f>
        <v>105</v>
      </c>
      <c r="R131" s="453">
        <f>SUM(R105,R109,R116,R120,R122:R123,R129)</f>
        <v>8.2692307692307701</v>
      </c>
      <c r="S131" s="451"/>
      <c r="T131" s="451"/>
      <c r="U131" s="451"/>
      <c r="V131" s="478">
        <f>SUM(V105,V109,V116,V120,V122:V123,V129)</f>
        <v>205</v>
      </c>
      <c r="W131" s="480">
        <f>SUM(W105,W109,W116,W120,W122:W123,W129)</f>
        <v>15.215384615384615</v>
      </c>
      <c r="X131" s="478"/>
      <c r="Y131" s="478"/>
      <c r="Z131" s="478"/>
      <c r="AA131" s="190"/>
      <c r="AB131" s="190"/>
      <c r="AC131" s="190"/>
      <c r="AD131" s="190"/>
      <c r="AE131" s="190">
        <f>SUM(AE105,AE109,AE116,AE120,AE122:AE123,AE129)</f>
        <v>75</v>
      </c>
      <c r="AF131" s="252">
        <f>SUM(AF105,AF109,AF116,AF120,AF122:AF123,AF129)</f>
        <v>3</v>
      </c>
      <c r="AG131" s="190"/>
      <c r="AH131" s="190"/>
      <c r="AL131" s="8"/>
    </row>
    <row r="132" spans="1:38" ht="8.25" customHeight="1" x14ac:dyDescent="0.25">
      <c r="A132" s="507" t="s">
        <v>76</v>
      </c>
      <c r="B132" s="508"/>
      <c r="C132" s="508"/>
      <c r="D132" s="508"/>
      <c r="E132" s="508"/>
      <c r="F132" s="508"/>
      <c r="G132" s="508"/>
      <c r="H132" s="508"/>
      <c r="I132" s="508"/>
      <c r="J132" s="508"/>
      <c r="K132" s="508"/>
      <c r="L132" s="508"/>
      <c r="M132" s="508"/>
      <c r="N132" s="508"/>
      <c r="O132" s="508"/>
      <c r="P132" s="508"/>
      <c r="Q132" s="508"/>
      <c r="R132" s="508"/>
      <c r="S132" s="508"/>
      <c r="T132" s="508"/>
      <c r="U132" s="508"/>
      <c r="V132" s="508"/>
      <c r="W132" s="508"/>
      <c r="X132" s="508"/>
      <c r="Y132" s="508"/>
      <c r="Z132" s="508"/>
      <c r="AA132" s="508"/>
      <c r="AB132" s="508"/>
      <c r="AC132" s="508"/>
      <c r="AD132" s="508"/>
      <c r="AE132" s="508"/>
      <c r="AF132" s="508"/>
      <c r="AG132" s="508"/>
      <c r="AH132" s="509"/>
      <c r="AL132" s="8"/>
    </row>
    <row r="133" spans="1:38" ht="24" customHeight="1" x14ac:dyDescent="0.25">
      <c r="A133" s="510"/>
      <c r="B133" s="511"/>
      <c r="C133" s="511"/>
      <c r="D133" s="511"/>
      <c r="E133" s="511"/>
      <c r="F133" s="511"/>
      <c r="G133" s="511"/>
      <c r="H133" s="511"/>
      <c r="I133" s="511"/>
      <c r="J133" s="511"/>
      <c r="K133" s="511"/>
      <c r="L133" s="511"/>
      <c r="M133" s="511"/>
      <c r="N133" s="511"/>
      <c r="O133" s="511"/>
      <c r="P133" s="511"/>
      <c r="Q133" s="511"/>
      <c r="R133" s="511"/>
      <c r="S133" s="511"/>
      <c r="T133" s="511"/>
      <c r="U133" s="511"/>
      <c r="V133" s="511"/>
      <c r="W133" s="511"/>
      <c r="X133" s="511"/>
      <c r="Y133" s="511"/>
      <c r="Z133" s="511"/>
      <c r="AA133" s="511"/>
      <c r="AB133" s="511"/>
      <c r="AC133" s="511"/>
      <c r="AD133" s="511"/>
      <c r="AE133" s="511"/>
      <c r="AF133" s="511"/>
      <c r="AG133" s="511"/>
      <c r="AH133" s="512"/>
      <c r="AL133" s="8"/>
    </row>
    <row r="134" spans="1:38" ht="24" customHeight="1" x14ac:dyDescent="0.25">
      <c r="A134" s="513" t="s">
        <v>2</v>
      </c>
      <c r="B134" s="247"/>
      <c r="C134" s="513" t="s">
        <v>3</v>
      </c>
      <c r="D134" s="513" t="s">
        <v>4</v>
      </c>
      <c r="E134" s="504" t="s">
        <v>5</v>
      </c>
      <c r="F134" s="506"/>
      <c r="G134" s="522" t="s">
        <v>150</v>
      </c>
      <c r="H134" s="523"/>
      <c r="I134" s="523"/>
      <c r="J134" s="523"/>
      <c r="K134" s="523"/>
      <c r="L134" s="523"/>
      <c r="M134" s="523"/>
      <c r="N134" s="523"/>
      <c r="O134" s="523"/>
      <c r="P134" s="523"/>
      <c r="Q134" s="523"/>
      <c r="R134" s="523"/>
      <c r="S134" s="523"/>
      <c r="T134" s="523"/>
      <c r="U134" s="523"/>
      <c r="V134" s="523"/>
      <c r="W134" s="523"/>
      <c r="X134" s="523"/>
      <c r="Y134" s="523"/>
      <c r="Z134" s="523"/>
      <c r="AA134" s="523"/>
      <c r="AB134" s="523"/>
      <c r="AC134" s="523"/>
      <c r="AD134" s="523"/>
      <c r="AE134" s="523"/>
      <c r="AF134" s="523"/>
      <c r="AG134" s="523"/>
      <c r="AH134" s="524"/>
      <c r="AL134" s="500"/>
    </row>
    <row r="135" spans="1:38" ht="49.5" customHeight="1" x14ac:dyDescent="0.25">
      <c r="A135" s="514"/>
      <c r="B135" s="248"/>
      <c r="C135" s="514"/>
      <c r="D135" s="514"/>
      <c r="E135" s="516" t="s">
        <v>78</v>
      </c>
      <c r="F135" s="516" t="s">
        <v>8</v>
      </c>
      <c r="G135" s="516" t="s">
        <v>9</v>
      </c>
      <c r="H135" s="519" t="s">
        <v>8</v>
      </c>
      <c r="I135" s="516" t="s">
        <v>10</v>
      </c>
      <c r="J135" s="519" t="s">
        <v>8</v>
      </c>
      <c r="K135" s="519" t="s">
        <v>11</v>
      </c>
      <c r="L135" s="522" t="s">
        <v>12</v>
      </c>
      <c r="M135" s="523"/>
      <c r="N135" s="523"/>
      <c r="O135" s="523"/>
      <c r="P135" s="523"/>
      <c r="Q135" s="523"/>
      <c r="R135" s="523"/>
      <c r="S135" s="523"/>
      <c r="T135" s="523"/>
      <c r="U135" s="523"/>
      <c r="V135" s="523"/>
      <c r="W135" s="523"/>
      <c r="X135" s="523"/>
      <c r="Y135" s="523"/>
      <c r="Z135" s="524"/>
      <c r="AA135" s="522" t="s">
        <v>13</v>
      </c>
      <c r="AB135" s="523"/>
      <c r="AC135" s="523"/>
      <c r="AD135" s="523"/>
      <c r="AE135" s="523"/>
      <c r="AF135" s="523"/>
      <c r="AG135" s="523"/>
      <c r="AH135" s="524"/>
      <c r="AL135" s="500"/>
    </row>
    <row r="136" spans="1:38" ht="37.5" customHeight="1" x14ac:dyDescent="0.25">
      <c r="A136" s="514"/>
      <c r="B136" s="248"/>
      <c r="C136" s="514"/>
      <c r="D136" s="514"/>
      <c r="E136" s="517"/>
      <c r="F136" s="517"/>
      <c r="G136" s="517"/>
      <c r="H136" s="520"/>
      <c r="I136" s="517"/>
      <c r="J136" s="520"/>
      <c r="K136" s="520"/>
      <c r="L136" s="554" t="s">
        <v>79</v>
      </c>
      <c r="M136" s="555"/>
      <c r="N136" s="555"/>
      <c r="O136" s="555"/>
      <c r="P136" s="556"/>
      <c r="Q136" s="551" t="s">
        <v>80</v>
      </c>
      <c r="R136" s="552"/>
      <c r="S136" s="552"/>
      <c r="T136" s="552"/>
      <c r="U136" s="553"/>
      <c r="V136" s="548" t="s">
        <v>81</v>
      </c>
      <c r="W136" s="549"/>
      <c r="X136" s="549"/>
      <c r="Y136" s="549"/>
      <c r="Z136" s="550"/>
      <c r="AA136" s="522" t="s">
        <v>17</v>
      </c>
      <c r="AB136" s="523"/>
      <c r="AC136" s="523"/>
      <c r="AD136" s="524"/>
      <c r="AE136" s="522" t="s">
        <v>18</v>
      </c>
      <c r="AF136" s="523"/>
      <c r="AG136" s="523"/>
      <c r="AH136" s="524"/>
      <c r="AL136" s="500"/>
    </row>
    <row r="137" spans="1:38" ht="36.6" customHeight="1" x14ac:dyDescent="0.25">
      <c r="A137" s="515"/>
      <c r="B137" s="249"/>
      <c r="C137" s="515"/>
      <c r="D137" s="515"/>
      <c r="E137" s="518"/>
      <c r="F137" s="518"/>
      <c r="G137" s="518"/>
      <c r="H137" s="521"/>
      <c r="I137" s="518"/>
      <c r="J137" s="521"/>
      <c r="K137" s="521"/>
      <c r="L137" s="430" t="s">
        <v>19</v>
      </c>
      <c r="M137" s="431" t="s">
        <v>8</v>
      </c>
      <c r="N137" s="431" t="s">
        <v>20</v>
      </c>
      <c r="O137" s="430" t="s">
        <v>21</v>
      </c>
      <c r="P137" s="430" t="s">
        <v>22</v>
      </c>
      <c r="Q137" s="449" t="s">
        <v>19</v>
      </c>
      <c r="R137" s="450" t="s">
        <v>8</v>
      </c>
      <c r="S137" s="450" t="s">
        <v>20</v>
      </c>
      <c r="T137" s="449" t="s">
        <v>21</v>
      </c>
      <c r="U137" s="449" t="s">
        <v>22</v>
      </c>
      <c r="V137" s="476" t="s">
        <v>19</v>
      </c>
      <c r="W137" s="477" t="s">
        <v>8</v>
      </c>
      <c r="X137" s="477" t="s">
        <v>20</v>
      </c>
      <c r="Y137" s="476" t="s">
        <v>21</v>
      </c>
      <c r="Z137" s="476" t="s">
        <v>22</v>
      </c>
      <c r="AA137" s="135" t="s">
        <v>19</v>
      </c>
      <c r="AB137" s="250" t="s">
        <v>8</v>
      </c>
      <c r="AC137" s="250" t="s">
        <v>20</v>
      </c>
      <c r="AD137" s="135" t="s">
        <v>21</v>
      </c>
      <c r="AE137" s="135" t="s">
        <v>19</v>
      </c>
      <c r="AF137" s="250" t="s">
        <v>8</v>
      </c>
      <c r="AG137" s="250" t="s">
        <v>20</v>
      </c>
      <c r="AH137" s="135" t="s">
        <v>21</v>
      </c>
      <c r="AL137" s="500"/>
    </row>
    <row r="138" spans="1:38" ht="21" customHeight="1" x14ac:dyDescent="0.25">
      <c r="A138" s="522" t="s">
        <v>23</v>
      </c>
      <c r="B138" s="523"/>
      <c r="C138" s="523"/>
      <c r="D138" s="523"/>
      <c r="E138" s="523"/>
      <c r="F138" s="523"/>
      <c r="G138" s="523"/>
      <c r="H138" s="523"/>
      <c r="I138" s="523"/>
      <c r="J138" s="523"/>
      <c r="K138" s="523"/>
      <c r="L138" s="523"/>
      <c r="M138" s="523"/>
      <c r="N138" s="523"/>
      <c r="O138" s="523"/>
      <c r="P138" s="523"/>
      <c r="Q138" s="523"/>
      <c r="R138" s="523"/>
      <c r="S138" s="523"/>
      <c r="T138" s="523"/>
      <c r="U138" s="523"/>
      <c r="V138" s="523"/>
      <c r="W138" s="523"/>
      <c r="X138" s="523"/>
      <c r="Y138" s="523"/>
      <c r="Z138" s="523"/>
      <c r="AA138" s="523"/>
      <c r="AB138" s="523"/>
      <c r="AC138" s="523"/>
      <c r="AD138" s="523"/>
      <c r="AE138" s="523"/>
      <c r="AF138" s="523"/>
      <c r="AG138" s="523"/>
      <c r="AH138" s="524"/>
      <c r="AL138" s="8"/>
    </row>
    <row r="139" spans="1:38" ht="35.450000000000003" customHeight="1" x14ac:dyDescent="0.25">
      <c r="A139" s="251">
        <v>1</v>
      </c>
      <c r="B139" s="135"/>
      <c r="C139" s="190" t="s">
        <v>151</v>
      </c>
      <c r="D139" s="190" t="s">
        <v>152</v>
      </c>
      <c r="E139" s="190">
        <v>45</v>
      </c>
      <c r="F139" s="338">
        <v>4</v>
      </c>
      <c r="G139" s="192">
        <f>E139</f>
        <v>45</v>
      </c>
      <c r="H139" s="193">
        <f>(G139*1)/25</f>
        <v>1.8</v>
      </c>
      <c r="I139" s="192">
        <f>(F139*25)-G139</f>
        <v>55</v>
      </c>
      <c r="J139" s="193">
        <f>(I139*1)/25</f>
        <v>2.2000000000000002</v>
      </c>
      <c r="K139" s="139" t="s">
        <v>30</v>
      </c>
      <c r="L139" s="432">
        <v>15</v>
      </c>
      <c r="M139" s="433">
        <f t="shared" ref="M139:M140" si="134">(L139*$F139)/$E139</f>
        <v>1.3333333333333333</v>
      </c>
      <c r="N139" s="432"/>
      <c r="O139" s="432"/>
      <c r="P139" s="432"/>
      <c r="Q139" s="451"/>
      <c r="R139" s="452"/>
      <c r="S139" s="451"/>
      <c r="T139" s="451"/>
      <c r="U139" s="451"/>
      <c r="V139" s="478">
        <v>30</v>
      </c>
      <c r="W139" s="479">
        <f t="shared" ref="W139:W140" si="135">(V139*$F139)/$E139</f>
        <v>2.6666666666666665</v>
      </c>
      <c r="X139" s="478" t="s">
        <v>871</v>
      </c>
      <c r="Y139" s="478"/>
      <c r="Z139" s="478"/>
      <c r="AA139" s="190"/>
      <c r="AB139" s="190"/>
      <c r="AC139" s="190"/>
      <c r="AD139" s="190"/>
      <c r="AE139" s="190"/>
      <c r="AF139" s="190"/>
      <c r="AG139" s="190"/>
      <c r="AH139" s="190"/>
      <c r="AL139" s="133"/>
    </row>
    <row r="140" spans="1:38" ht="15" customHeight="1" x14ac:dyDescent="0.25">
      <c r="A140" s="504" t="s">
        <v>37</v>
      </c>
      <c r="B140" s="505"/>
      <c r="C140" s="505"/>
      <c r="D140" s="506"/>
      <c r="E140" s="190">
        <f t="shared" ref="E140:L140" si="136">SUM(E139)</f>
        <v>45</v>
      </c>
      <c r="F140" s="190">
        <f t="shared" si="136"/>
        <v>4</v>
      </c>
      <c r="G140" s="190">
        <f t="shared" si="136"/>
        <v>45</v>
      </c>
      <c r="H140" s="252">
        <f t="shared" si="136"/>
        <v>1.8</v>
      </c>
      <c r="I140" s="190">
        <f t="shared" si="136"/>
        <v>55</v>
      </c>
      <c r="J140" s="252">
        <f t="shared" si="136"/>
        <v>2.2000000000000002</v>
      </c>
      <c r="K140" s="252"/>
      <c r="L140" s="432">
        <f t="shared" si="136"/>
        <v>15</v>
      </c>
      <c r="M140" s="433">
        <f t="shared" si="134"/>
        <v>1.3333333333333333</v>
      </c>
      <c r="N140" s="432"/>
      <c r="O140" s="432"/>
      <c r="P140" s="432"/>
      <c r="Q140" s="451">
        <f>SUM(Q139)</f>
        <v>0</v>
      </c>
      <c r="R140" s="452">
        <f t="shared" ref="R140" si="137">(Q140*$F140)/$E140</f>
        <v>0</v>
      </c>
      <c r="S140" s="451"/>
      <c r="T140" s="451"/>
      <c r="U140" s="451"/>
      <c r="V140" s="478">
        <f>SUM(V139)</f>
        <v>30</v>
      </c>
      <c r="W140" s="479">
        <f t="shared" si="135"/>
        <v>2.6666666666666665</v>
      </c>
      <c r="X140" s="478"/>
      <c r="Y140" s="478"/>
      <c r="Z140" s="478"/>
      <c r="AA140" s="190"/>
      <c r="AB140" s="190"/>
      <c r="AC140" s="190"/>
      <c r="AD140" s="190"/>
      <c r="AE140" s="190"/>
      <c r="AF140" s="190"/>
      <c r="AG140" s="190"/>
      <c r="AH140" s="190"/>
      <c r="AL140" s="8"/>
    </row>
    <row r="141" spans="1:38" ht="21.6" customHeight="1" x14ac:dyDescent="0.25">
      <c r="A141" s="522" t="s">
        <v>39</v>
      </c>
      <c r="B141" s="523"/>
      <c r="C141" s="523"/>
      <c r="D141" s="523"/>
      <c r="E141" s="523"/>
      <c r="F141" s="523"/>
      <c r="G141" s="523"/>
      <c r="H141" s="523"/>
      <c r="I141" s="523"/>
      <c r="J141" s="523"/>
      <c r="K141" s="523"/>
      <c r="L141" s="523"/>
      <c r="M141" s="523"/>
      <c r="N141" s="523"/>
      <c r="O141" s="523"/>
      <c r="P141" s="523"/>
      <c r="Q141" s="523"/>
      <c r="R141" s="523"/>
      <c r="S141" s="523"/>
      <c r="T141" s="523"/>
      <c r="U141" s="523"/>
      <c r="V141" s="523"/>
      <c r="W141" s="523"/>
      <c r="X141" s="523"/>
      <c r="Y141" s="523"/>
      <c r="Z141" s="523"/>
      <c r="AA141" s="523"/>
      <c r="AB141" s="523"/>
      <c r="AC141" s="523"/>
      <c r="AD141" s="523"/>
      <c r="AE141" s="523"/>
      <c r="AF141" s="523"/>
      <c r="AG141" s="523"/>
      <c r="AH141" s="524"/>
      <c r="AL141" s="8"/>
    </row>
    <row r="142" spans="1:38" ht="37.9" customHeight="1" x14ac:dyDescent="0.25">
      <c r="A142" s="135">
        <v>2</v>
      </c>
      <c r="B142" s="143"/>
      <c r="C142" s="190" t="s">
        <v>153</v>
      </c>
      <c r="D142" s="190" t="s">
        <v>70</v>
      </c>
      <c r="E142" s="190">
        <v>30</v>
      </c>
      <c r="F142" s="190">
        <v>2</v>
      </c>
      <c r="G142" s="192">
        <f>E142</f>
        <v>30</v>
      </c>
      <c r="H142" s="193">
        <f>(G142*1)/25</f>
        <v>1.2</v>
      </c>
      <c r="I142" s="192">
        <f>(F142*25)-G142</f>
        <v>20</v>
      </c>
      <c r="J142" s="193">
        <f>(I142*1)/25</f>
        <v>0.8</v>
      </c>
      <c r="K142" s="139" t="s">
        <v>26</v>
      </c>
      <c r="L142" s="432">
        <v>10</v>
      </c>
      <c r="M142" s="433">
        <f t="shared" ref="M142:M144" si="138">(L142*$F142)/$E142</f>
        <v>0.66666666666666663</v>
      </c>
      <c r="N142" s="432"/>
      <c r="O142" s="432"/>
      <c r="P142" s="432"/>
      <c r="Q142" s="451"/>
      <c r="R142" s="451"/>
      <c r="S142" s="451"/>
      <c r="T142" s="451"/>
      <c r="U142" s="451"/>
      <c r="V142" s="478">
        <v>20</v>
      </c>
      <c r="W142" s="479">
        <f t="shared" ref="W142:W143" si="139">(V142*$F142)/$E142</f>
        <v>1.3333333333333333</v>
      </c>
      <c r="X142" s="478" t="s">
        <v>871</v>
      </c>
      <c r="Y142" s="478"/>
      <c r="Z142" s="478"/>
      <c r="AA142" s="190"/>
      <c r="AB142" s="190"/>
      <c r="AC142" s="190"/>
      <c r="AD142" s="190"/>
      <c r="AE142" s="190"/>
      <c r="AF142" s="190"/>
      <c r="AG142" s="190"/>
      <c r="AH142" s="190"/>
      <c r="AL142" s="133"/>
    </row>
    <row r="143" spans="1:38" ht="39.6" customHeight="1" x14ac:dyDescent="0.25">
      <c r="A143" s="251">
        <v>3</v>
      </c>
      <c r="B143" s="143"/>
      <c r="C143" s="191" t="s">
        <v>154</v>
      </c>
      <c r="D143" s="190" t="s">
        <v>155</v>
      </c>
      <c r="E143" s="190">
        <v>30</v>
      </c>
      <c r="F143" s="190">
        <v>3</v>
      </c>
      <c r="G143" s="192">
        <f>E143</f>
        <v>30</v>
      </c>
      <c r="H143" s="193">
        <f>(G143*1)/25</f>
        <v>1.2</v>
      </c>
      <c r="I143" s="192">
        <f>(F143*25)-G143</f>
        <v>45</v>
      </c>
      <c r="J143" s="193">
        <f>(I143*1)/25</f>
        <v>1.8</v>
      </c>
      <c r="K143" s="139" t="s">
        <v>26</v>
      </c>
      <c r="L143" s="432">
        <v>10</v>
      </c>
      <c r="M143" s="433">
        <f t="shared" si="138"/>
        <v>1</v>
      </c>
      <c r="N143" s="432"/>
      <c r="O143" s="432"/>
      <c r="P143" s="432"/>
      <c r="Q143" s="451">
        <v>15</v>
      </c>
      <c r="R143" s="452">
        <f t="shared" ref="R143:R144" si="140">(Q143*$F143)/$E143</f>
        <v>1.5</v>
      </c>
      <c r="S143" s="451">
        <v>10</v>
      </c>
      <c r="T143" s="451"/>
      <c r="U143" s="451"/>
      <c r="V143" s="478">
        <v>5</v>
      </c>
      <c r="W143" s="479">
        <f t="shared" si="139"/>
        <v>0.5</v>
      </c>
      <c r="X143" s="478" t="s">
        <v>871</v>
      </c>
      <c r="Y143" s="478"/>
      <c r="Z143" s="478"/>
      <c r="AA143" s="190"/>
      <c r="AB143" s="190"/>
      <c r="AC143" s="190"/>
      <c r="AD143" s="190"/>
      <c r="AE143" s="190"/>
      <c r="AF143" s="190"/>
      <c r="AG143" s="190"/>
      <c r="AH143" s="190"/>
      <c r="AI143" s="35" t="s">
        <v>33</v>
      </c>
      <c r="AL143" s="133"/>
    </row>
    <row r="144" spans="1:38" ht="15" customHeight="1" x14ac:dyDescent="0.25">
      <c r="A144" s="504" t="s">
        <v>52</v>
      </c>
      <c r="B144" s="505"/>
      <c r="C144" s="505"/>
      <c r="D144" s="506"/>
      <c r="E144" s="190">
        <f t="shared" ref="E144:L144" si="141">SUM(E142:E143)</f>
        <v>60</v>
      </c>
      <c r="F144" s="190">
        <f t="shared" si="141"/>
        <v>5</v>
      </c>
      <c r="G144" s="190">
        <f t="shared" si="141"/>
        <v>60</v>
      </c>
      <c r="H144" s="252">
        <f t="shared" si="141"/>
        <v>2.4</v>
      </c>
      <c r="I144" s="190">
        <f t="shared" si="141"/>
        <v>65</v>
      </c>
      <c r="J144" s="252">
        <f t="shared" si="141"/>
        <v>2.6</v>
      </c>
      <c r="K144" s="252"/>
      <c r="L144" s="432">
        <f t="shared" si="141"/>
        <v>20</v>
      </c>
      <c r="M144" s="433">
        <f t="shared" si="138"/>
        <v>1.6666666666666667</v>
      </c>
      <c r="N144" s="432"/>
      <c r="O144" s="432"/>
      <c r="P144" s="432"/>
      <c r="Q144" s="451">
        <f>SUM(Q142:Q143)</f>
        <v>15</v>
      </c>
      <c r="R144" s="452">
        <f t="shared" si="140"/>
        <v>1.25</v>
      </c>
      <c r="S144" s="451"/>
      <c r="T144" s="451"/>
      <c r="U144" s="451"/>
      <c r="V144" s="478">
        <f>SUM(V142:V143)</f>
        <v>25</v>
      </c>
      <c r="W144" s="479">
        <f t="shared" ref="W144" si="142">(V144*$F144)/$E144</f>
        <v>2.0833333333333335</v>
      </c>
      <c r="X144" s="478"/>
      <c r="Y144" s="478"/>
      <c r="Z144" s="478"/>
      <c r="AA144" s="190"/>
      <c r="AB144" s="190"/>
      <c r="AC144" s="190"/>
      <c r="AD144" s="190"/>
      <c r="AE144" s="190"/>
      <c r="AF144" s="190"/>
      <c r="AG144" s="190"/>
      <c r="AH144" s="190"/>
      <c r="AL144" s="8"/>
    </row>
    <row r="145" spans="1:121" ht="25.15" customHeight="1" x14ac:dyDescent="0.25">
      <c r="A145" s="522" t="s">
        <v>53</v>
      </c>
      <c r="B145" s="523"/>
      <c r="C145" s="523"/>
      <c r="D145" s="523"/>
      <c r="E145" s="523"/>
      <c r="F145" s="523"/>
      <c r="G145" s="523"/>
      <c r="H145" s="523"/>
      <c r="I145" s="523"/>
      <c r="J145" s="523"/>
      <c r="K145" s="523"/>
      <c r="L145" s="523"/>
      <c r="M145" s="523"/>
      <c r="N145" s="523"/>
      <c r="O145" s="523"/>
      <c r="P145" s="523"/>
      <c r="Q145" s="523"/>
      <c r="R145" s="523"/>
      <c r="S145" s="523"/>
      <c r="T145" s="523"/>
      <c r="U145" s="523"/>
      <c r="V145" s="523"/>
      <c r="W145" s="523"/>
      <c r="X145" s="523"/>
      <c r="Y145" s="523"/>
      <c r="Z145" s="523"/>
      <c r="AA145" s="523"/>
      <c r="AB145" s="523"/>
      <c r="AC145" s="523"/>
      <c r="AD145" s="523"/>
      <c r="AE145" s="523"/>
      <c r="AF145" s="523"/>
      <c r="AG145" s="523"/>
      <c r="AH145" s="524"/>
      <c r="AL145" s="8"/>
    </row>
    <row r="146" spans="1:121" ht="40.9" customHeight="1" x14ac:dyDescent="0.25">
      <c r="A146" s="251"/>
      <c r="B146" s="135"/>
      <c r="C146" s="338" t="s">
        <v>156</v>
      </c>
      <c r="D146" s="338" t="s">
        <v>157</v>
      </c>
      <c r="E146" s="338">
        <v>20</v>
      </c>
      <c r="F146" s="338">
        <v>2</v>
      </c>
      <c r="G146" s="349">
        <f>E146</f>
        <v>20</v>
      </c>
      <c r="H146" s="352">
        <f>(G146*1)/25</f>
        <v>0.8</v>
      </c>
      <c r="I146" s="349">
        <f>(F146*25)-G146</f>
        <v>30</v>
      </c>
      <c r="J146" s="352">
        <f>(I146*1)/25</f>
        <v>1.2</v>
      </c>
      <c r="K146" s="350" t="s">
        <v>26</v>
      </c>
      <c r="L146" s="432"/>
      <c r="M146" s="433"/>
      <c r="N146" s="432"/>
      <c r="O146" s="432"/>
      <c r="P146" s="432"/>
      <c r="Q146" s="451">
        <v>15</v>
      </c>
      <c r="R146" s="452">
        <f t="shared" ref="R146" si="143">(Q146*$F146)/$E146</f>
        <v>1.5</v>
      </c>
      <c r="S146" s="451">
        <v>10</v>
      </c>
      <c r="T146" s="451"/>
      <c r="U146" s="451"/>
      <c r="V146" s="478">
        <v>5</v>
      </c>
      <c r="W146" s="479">
        <f t="shared" ref="W146" si="144">(V146*$F146)/$E146</f>
        <v>0.5</v>
      </c>
      <c r="X146" s="478" t="s">
        <v>871</v>
      </c>
      <c r="Y146" s="478"/>
      <c r="Z146" s="478"/>
      <c r="AA146" s="338"/>
      <c r="AB146" s="338"/>
      <c r="AC146" s="338"/>
      <c r="AD146" s="338"/>
      <c r="AE146" s="338"/>
      <c r="AF146" s="338"/>
      <c r="AG146" s="338"/>
      <c r="AH146" s="338"/>
      <c r="AL146" s="133"/>
      <c r="BC146" s="33"/>
      <c r="BD146" s="35"/>
      <c r="DM146" s="167"/>
      <c r="DN146" s="168"/>
      <c r="DO146" s="35"/>
      <c r="DP146" s="169"/>
      <c r="DQ146" s="170"/>
    </row>
    <row r="147" spans="1:121" ht="47.45" customHeight="1" x14ac:dyDescent="0.25">
      <c r="A147" s="135"/>
      <c r="B147" s="343"/>
      <c r="C147" s="190" t="s">
        <v>158</v>
      </c>
      <c r="D147" s="191" t="s">
        <v>42</v>
      </c>
      <c r="E147" s="195">
        <v>80</v>
      </c>
      <c r="F147" s="339">
        <v>5</v>
      </c>
      <c r="G147" s="192">
        <f t="shared" ref="G147" si="145">E147</f>
        <v>80</v>
      </c>
      <c r="H147" s="193">
        <f t="shared" ref="H147" si="146">(G147*1)/25</f>
        <v>3.2</v>
      </c>
      <c r="I147" s="192">
        <f t="shared" ref="I147" si="147">(F147*25)-G147</f>
        <v>45</v>
      </c>
      <c r="J147" s="193">
        <f t="shared" ref="J147" si="148">(I147*1)/25</f>
        <v>1.8</v>
      </c>
      <c r="K147" s="139" t="s">
        <v>30</v>
      </c>
      <c r="L147" s="432"/>
      <c r="M147" s="432"/>
      <c r="N147" s="432"/>
      <c r="O147" s="432"/>
      <c r="P147" s="432"/>
      <c r="Q147" s="451">
        <v>50</v>
      </c>
      <c r="R147" s="452">
        <f t="shared" ref="R147" si="149">(Q147*$F147)/$E147</f>
        <v>3.125</v>
      </c>
      <c r="S147" s="451">
        <v>10</v>
      </c>
      <c r="T147" s="451"/>
      <c r="U147" s="451"/>
      <c r="V147" s="478">
        <v>30</v>
      </c>
      <c r="W147" s="479">
        <f t="shared" ref="W147" si="150">(V147*$F147)/$E147</f>
        <v>1.875</v>
      </c>
      <c r="X147" s="478" t="s">
        <v>871</v>
      </c>
      <c r="Y147" s="478"/>
      <c r="Z147" s="478"/>
      <c r="AA147" s="190"/>
      <c r="AB147" s="190"/>
      <c r="AC147" s="190"/>
      <c r="AD147" s="190"/>
      <c r="AE147" s="190"/>
      <c r="AF147" s="190"/>
      <c r="AG147" s="190"/>
      <c r="AH147" s="190"/>
      <c r="AL147" s="197"/>
    </row>
    <row r="148" spans="1:121" ht="43.15" customHeight="1" x14ac:dyDescent="0.25">
      <c r="A148" s="135">
        <v>5</v>
      </c>
      <c r="B148" s="135"/>
      <c r="C148" s="191" t="s">
        <v>159</v>
      </c>
      <c r="D148" s="190" t="s">
        <v>94</v>
      </c>
      <c r="E148" s="195">
        <v>30</v>
      </c>
      <c r="F148" s="195">
        <v>1</v>
      </c>
      <c r="G148" s="192">
        <f>E148</f>
        <v>30</v>
      </c>
      <c r="H148" s="193">
        <f>(G148*1)/30</f>
        <v>1</v>
      </c>
      <c r="I148" s="192">
        <f>(F148*30)-G148</f>
        <v>0</v>
      </c>
      <c r="J148" s="193">
        <f>(I148*1)/30</f>
        <v>0</v>
      </c>
      <c r="K148" s="139" t="s">
        <v>30</v>
      </c>
      <c r="L148" s="432"/>
      <c r="M148" s="432"/>
      <c r="N148" s="432"/>
      <c r="O148" s="432"/>
      <c r="P148" s="432"/>
      <c r="Q148" s="451"/>
      <c r="R148" s="451"/>
      <c r="S148" s="451"/>
      <c r="T148" s="451"/>
      <c r="U148" s="451"/>
      <c r="V148" s="478">
        <v>30</v>
      </c>
      <c r="W148" s="479">
        <f t="shared" ref="W148:W149" si="151">(V148*$F148)/$E148</f>
        <v>1</v>
      </c>
      <c r="X148" s="478" t="s">
        <v>871</v>
      </c>
      <c r="Y148" s="478"/>
      <c r="Z148" s="478"/>
      <c r="AA148" s="190"/>
      <c r="AB148" s="190"/>
      <c r="AC148" s="190"/>
      <c r="AD148" s="190"/>
      <c r="AE148" s="190"/>
      <c r="AF148" s="190"/>
      <c r="AG148" s="190"/>
      <c r="AH148" s="190"/>
      <c r="AL148" s="133"/>
    </row>
    <row r="149" spans="1:121" s="11" customFormat="1" ht="18" customHeight="1" x14ac:dyDescent="0.25">
      <c r="A149" s="504" t="s">
        <v>64</v>
      </c>
      <c r="B149" s="505"/>
      <c r="C149" s="505"/>
      <c r="D149" s="506"/>
      <c r="E149" s="195">
        <f t="shared" ref="E149:J149" si="152">SUM(E146:E148)</f>
        <v>130</v>
      </c>
      <c r="F149" s="195">
        <f t="shared" si="152"/>
        <v>8</v>
      </c>
      <c r="G149" s="195">
        <f t="shared" si="152"/>
        <v>130</v>
      </c>
      <c r="H149" s="195">
        <f t="shared" si="152"/>
        <v>5</v>
      </c>
      <c r="I149" s="195">
        <f t="shared" si="152"/>
        <v>75</v>
      </c>
      <c r="J149" s="195">
        <f t="shared" si="152"/>
        <v>3</v>
      </c>
      <c r="K149" s="195"/>
      <c r="L149" s="435">
        <f>SUM(L146:L148)</f>
        <v>0</v>
      </c>
      <c r="M149" s="433">
        <f t="shared" ref="M149" si="153">(L149*$F149)/$E149</f>
        <v>0</v>
      </c>
      <c r="N149" s="435"/>
      <c r="O149" s="435"/>
      <c r="P149" s="435"/>
      <c r="Q149" s="454">
        <f>SUM(Q146:Q148)</f>
        <v>65</v>
      </c>
      <c r="R149" s="452">
        <f t="shared" ref="R149" si="154">(Q149*$F149)/$E149</f>
        <v>4</v>
      </c>
      <c r="S149" s="454"/>
      <c r="T149" s="454"/>
      <c r="U149" s="454"/>
      <c r="V149" s="481">
        <f>SUM(V146:V148)</f>
        <v>65</v>
      </c>
      <c r="W149" s="479">
        <f t="shared" si="151"/>
        <v>4</v>
      </c>
      <c r="X149" s="481"/>
      <c r="Y149" s="481"/>
      <c r="Z149" s="481"/>
      <c r="AA149" s="190"/>
      <c r="AB149" s="190"/>
      <c r="AC149" s="190"/>
      <c r="AD149" s="190"/>
      <c r="AE149" s="190"/>
      <c r="AF149" s="190"/>
      <c r="AG149" s="190"/>
      <c r="AH149" s="190"/>
      <c r="DM149" s="175"/>
      <c r="DN149" s="175"/>
    </row>
    <row r="150" spans="1:121" ht="24.6" customHeight="1" x14ac:dyDescent="0.25">
      <c r="A150" s="522" t="s">
        <v>65</v>
      </c>
      <c r="B150" s="523"/>
      <c r="C150" s="523"/>
      <c r="D150" s="523"/>
      <c r="E150" s="523"/>
      <c r="F150" s="523"/>
      <c r="G150" s="523"/>
      <c r="H150" s="523"/>
      <c r="I150" s="523"/>
      <c r="J150" s="523"/>
      <c r="K150" s="523"/>
      <c r="L150" s="523"/>
      <c r="M150" s="523"/>
      <c r="N150" s="523"/>
      <c r="O150" s="523"/>
      <c r="P150" s="523"/>
      <c r="Q150" s="523"/>
      <c r="R150" s="523"/>
      <c r="S150" s="523"/>
      <c r="T150" s="523"/>
      <c r="U150" s="523"/>
      <c r="V150" s="523"/>
      <c r="W150" s="523"/>
      <c r="X150" s="523"/>
      <c r="Y150" s="523"/>
      <c r="Z150" s="523"/>
      <c r="AA150" s="523"/>
      <c r="AB150" s="523"/>
      <c r="AC150" s="523"/>
      <c r="AD150" s="523"/>
      <c r="AE150" s="523"/>
      <c r="AF150" s="523"/>
      <c r="AG150" s="523"/>
      <c r="AH150" s="524"/>
      <c r="AL150" s="8"/>
    </row>
    <row r="151" spans="1:121" ht="43.15" customHeight="1" x14ac:dyDescent="0.25">
      <c r="A151" s="251">
        <v>9</v>
      </c>
      <c r="B151" s="135"/>
      <c r="C151" s="190" t="s">
        <v>160</v>
      </c>
      <c r="D151" s="190" t="s">
        <v>134</v>
      </c>
      <c r="E151" s="190">
        <v>20</v>
      </c>
      <c r="F151" s="190">
        <v>1</v>
      </c>
      <c r="G151" s="192">
        <f>E151</f>
        <v>20</v>
      </c>
      <c r="H151" s="193">
        <f>(G151*1)/25</f>
        <v>0.8</v>
      </c>
      <c r="I151" s="192">
        <f>(F151*25)-G151</f>
        <v>5</v>
      </c>
      <c r="J151" s="193">
        <f>(I151*1)/25</f>
        <v>0.2</v>
      </c>
      <c r="K151" s="139" t="s">
        <v>26</v>
      </c>
      <c r="L151" s="432"/>
      <c r="M151" s="432"/>
      <c r="N151" s="432"/>
      <c r="O151" s="432"/>
      <c r="P151" s="432"/>
      <c r="Q151" s="451"/>
      <c r="R151" s="451"/>
      <c r="S151" s="451"/>
      <c r="T151" s="451"/>
      <c r="U151" s="451"/>
      <c r="V151" s="478">
        <v>20</v>
      </c>
      <c r="W151" s="479">
        <f t="shared" ref="W151" si="155">(V151*$F151)/$E151</f>
        <v>1</v>
      </c>
      <c r="X151" s="478" t="s">
        <v>871</v>
      </c>
      <c r="Y151" s="478"/>
      <c r="Z151" s="478"/>
      <c r="AA151" s="190"/>
      <c r="AB151" s="190"/>
      <c r="AC151" s="190"/>
      <c r="AD151" s="190"/>
      <c r="AE151" s="190"/>
      <c r="AF151" s="190"/>
      <c r="AG151" s="190"/>
      <c r="AH151" s="190"/>
      <c r="AI151" s="140"/>
      <c r="AL151" s="133"/>
    </row>
    <row r="152" spans="1:121" s="15" customFormat="1" ht="46.15" customHeight="1" x14ac:dyDescent="0.25">
      <c r="A152" s="262"/>
      <c r="B152" s="262"/>
      <c r="C152" s="263" t="s">
        <v>161</v>
      </c>
      <c r="D152" s="263" t="s">
        <v>162</v>
      </c>
      <c r="E152" s="263">
        <v>20</v>
      </c>
      <c r="F152" s="263">
        <v>1</v>
      </c>
      <c r="G152" s="264">
        <f>E152</f>
        <v>20</v>
      </c>
      <c r="H152" s="265">
        <f>(G152*1)/25</f>
        <v>0.8</v>
      </c>
      <c r="I152" s="264">
        <f>(F152*25)-G152</f>
        <v>5</v>
      </c>
      <c r="J152" s="265">
        <f>(I152*1)/25</f>
        <v>0.2</v>
      </c>
      <c r="K152" s="266" t="s">
        <v>26</v>
      </c>
      <c r="L152" s="432">
        <v>20</v>
      </c>
      <c r="M152" s="433">
        <f>(L152*$F152)/$E152</f>
        <v>1</v>
      </c>
      <c r="N152" s="432"/>
      <c r="O152" s="432"/>
      <c r="P152" s="432"/>
      <c r="Q152" s="451"/>
      <c r="R152" s="451"/>
      <c r="S152" s="451"/>
      <c r="T152" s="451"/>
      <c r="U152" s="451"/>
      <c r="V152" s="478"/>
      <c r="W152" s="478"/>
      <c r="X152" s="478"/>
      <c r="Y152" s="478"/>
      <c r="Z152" s="478"/>
      <c r="AA152" s="263"/>
      <c r="AB152" s="263"/>
      <c r="AC152" s="263"/>
      <c r="AD152" s="263"/>
      <c r="AE152" s="263"/>
      <c r="AF152" s="263"/>
      <c r="AG152" s="263"/>
      <c r="AH152" s="263"/>
      <c r="AI152" s="267"/>
      <c r="AL152" s="268"/>
      <c r="DM152" s="269"/>
      <c r="DN152" s="269"/>
    </row>
    <row r="153" spans="1:121" ht="19.899999999999999" customHeight="1" x14ac:dyDescent="0.25">
      <c r="A153" s="522" t="s">
        <v>72</v>
      </c>
      <c r="B153" s="523"/>
      <c r="C153" s="523"/>
      <c r="D153" s="523"/>
      <c r="E153" s="523"/>
      <c r="F153" s="523"/>
      <c r="G153" s="523"/>
      <c r="H153" s="523"/>
      <c r="I153" s="523"/>
      <c r="J153" s="523"/>
      <c r="K153" s="523"/>
      <c r="L153" s="523"/>
      <c r="M153" s="523"/>
      <c r="N153" s="523"/>
      <c r="O153" s="523"/>
      <c r="P153" s="523"/>
      <c r="Q153" s="523"/>
      <c r="R153" s="523"/>
      <c r="S153" s="523"/>
      <c r="T153" s="523"/>
      <c r="U153" s="523"/>
      <c r="V153" s="523"/>
      <c r="W153" s="523"/>
      <c r="X153" s="523"/>
      <c r="Y153" s="523"/>
      <c r="Z153" s="523"/>
      <c r="AA153" s="523"/>
      <c r="AB153" s="523"/>
      <c r="AC153" s="523"/>
      <c r="AD153" s="523"/>
      <c r="AE153" s="523"/>
      <c r="AF153" s="523"/>
      <c r="AG153" s="524"/>
      <c r="AH153" s="190"/>
      <c r="AL153" s="8"/>
    </row>
    <row r="154" spans="1:121" ht="34.15" customHeight="1" x14ac:dyDescent="0.25">
      <c r="A154" s="135"/>
      <c r="B154" s="135"/>
      <c r="C154" s="546" t="s">
        <v>163</v>
      </c>
      <c r="D154" s="547"/>
      <c r="E154" s="342">
        <v>60</v>
      </c>
      <c r="F154" s="342">
        <v>6</v>
      </c>
      <c r="G154" s="333">
        <f>E154</f>
        <v>60</v>
      </c>
      <c r="H154" s="334">
        <f>(G154*1)/25</f>
        <v>2.4</v>
      </c>
      <c r="I154" s="333">
        <f>(F154*25)-G154</f>
        <v>90</v>
      </c>
      <c r="J154" s="334">
        <f>(I154*1)/25</f>
        <v>3.6</v>
      </c>
      <c r="K154" s="335" t="s">
        <v>43</v>
      </c>
      <c r="L154" s="435"/>
      <c r="M154" s="435"/>
      <c r="N154" s="435"/>
      <c r="O154" s="435"/>
      <c r="P154" s="435"/>
      <c r="Q154" s="451">
        <v>0</v>
      </c>
      <c r="R154" s="452">
        <f t="shared" ref="R154" si="156">(Q154*$F154)/$E154</f>
        <v>0</v>
      </c>
      <c r="S154" s="454"/>
      <c r="T154" s="454"/>
      <c r="U154" s="454"/>
      <c r="V154" s="478">
        <f>E154</f>
        <v>60</v>
      </c>
      <c r="W154" s="479">
        <f t="shared" ref="W154" si="157">(V154*$F154)/$E154</f>
        <v>6</v>
      </c>
      <c r="X154" s="478" t="s">
        <v>871</v>
      </c>
      <c r="Y154" s="481"/>
      <c r="Z154" s="481"/>
      <c r="AA154" s="332"/>
      <c r="AB154" s="332"/>
      <c r="AC154" s="332"/>
      <c r="AD154" s="332"/>
      <c r="AE154" s="332"/>
      <c r="AF154" s="332"/>
      <c r="AG154" s="332"/>
      <c r="AH154" s="332"/>
      <c r="AI154" s="8">
        <f>5*10</f>
        <v>50</v>
      </c>
      <c r="AL154" s="197"/>
      <c r="DQ154" s="170"/>
    </row>
    <row r="155" spans="1:121" ht="1.1499999999999999" customHeight="1" x14ac:dyDescent="0.25">
      <c r="A155" s="124"/>
      <c r="B155" s="135"/>
      <c r="C155" s="190"/>
      <c r="D155" s="191"/>
      <c r="E155" s="195"/>
      <c r="F155" s="195"/>
      <c r="G155" s="192"/>
      <c r="H155" s="193"/>
      <c r="I155" s="192"/>
      <c r="J155" s="193"/>
      <c r="K155" s="139"/>
      <c r="L155" s="432"/>
      <c r="M155" s="432"/>
      <c r="N155" s="432"/>
      <c r="O155" s="432"/>
      <c r="P155" s="432"/>
      <c r="Q155" s="451"/>
      <c r="R155" s="452"/>
      <c r="S155" s="451"/>
      <c r="T155" s="451"/>
      <c r="U155" s="451"/>
      <c r="V155" s="478"/>
      <c r="W155" s="479"/>
      <c r="X155" s="478"/>
      <c r="Y155" s="478"/>
      <c r="Z155" s="478"/>
      <c r="AA155" s="190"/>
      <c r="AB155" s="190"/>
      <c r="AC155" s="190"/>
      <c r="AD155" s="190"/>
      <c r="AE155" s="190"/>
      <c r="AF155" s="190"/>
      <c r="AG155" s="190"/>
      <c r="AH155" s="190"/>
      <c r="AL155" s="8"/>
    </row>
    <row r="156" spans="1:121" ht="1.1499999999999999" customHeight="1" x14ac:dyDescent="0.25">
      <c r="A156" s="135"/>
      <c r="B156" s="135"/>
      <c r="C156" s="190"/>
      <c r="D156" s="191"/>
      <c r="E156" s="195"/>
      <c r="F156" s="195"/>
      <c r="G156" s="192"/>
      <c r="H156" s="193"/>
      <c r="I156" s="192"/>
      <c r="J156" s="193"/>
      <c r="K156" s="139"/>
      <c r="L156" s="432"/>
      <c r="M156" s="432"/>
      <c r="N156" s="432"/>
      <c r="O156" s="432"/>
      <c r="P156" s="432"/>
      <c r="Q156" s="451"/>
      <c r="R156" s="452"/>
      <c r="S156" s="451"/>
      <c r="T156" s="451"/>
      <c r="U156" s="451"/>
      <c r="V156" s="478"/>
      <c r="W156" s="479"/>
      <c r="X156" s="478"/>
      <c r="Y156" s="478"/>
      <c r="Z156" s="478"/>
      <c r="AA156" s="190"/>
      <c r="AB156" s="190"/>
      <c r="AC156" s="190"/>
      <c r="AD156" s="190"/>
      <c r="AE156" s="190"/>
      <c r="AF156" s="190"/>
      <c r="AG156" s="190"/>
      <c r="AH156" s="190"/>
      <c r="AL156" s="197"/>
    </row>
    <row r="157" spans="1:121" ht="1.1499999999999999" customHeight="1" x14ac:dyDescent="0.25">
      <c r="A157" s="135"/>
      <c r="B157" s="135"/>
      <c r="C157" s="190"/>
      <c r="D157" s="191"/>
      <c r="E157" s="195"/>
      <c r="F157" s="195"/>
      <c r="G157" s="192"/>
      <c r="H157" s="193"/>
      <c r="I157" s="192"/>
      <c r="J157" s="193"/>
      <c r="K157" s="139"/>
      <c r="L157" s="432"/>
      <c r="M157" s="432"/>
      <c r="N157" s="432"/>
      <c r="O157" s="432"/>
      <c r="P157" s="432"/>
      <c r="Q157" s="451"/>
      <c r="R157" s="452"/>
      <c r="S157" s="451"/>
      <c r="T157" s="451"/>
      <c r="U157" s="451"/>
      <c r="V157" s="478"/>
      <c r="W157" s="479"/>
      <c r="X157" s="478"/>
      <c r="Y157" s="478"/>
      <c r="Z157" s="478"/>
      <c r="AA157" s="190"/>
      <c r="AB157" s="190"/>
      <c r="AC157" s="190"/>
      <c r="AD157" s="190"/>
      <c r="AE157" s="190"/>
      <c r="AF157" s="190"/>
      <c r="AG157" s="190"/>
      <c r="AH157" s="190"/>
      <c r="AL157" s="197"/>
    </row>
    <row r="158" spans="1:121" ht="1.1499999999999999" customHeight="1" x14ac:dyDescent="0.25">
      <c r="A158" s="135"/>
      <c r="B158" s="135"/>
      <c r="C158" s="190"/>
      <c r="D158" s="191"/>
      <c r="E158" s="195"/>
      <c r="F158" s="195"/>
      <c r="G158" s="192"/>
      <c r="H158" s="193"/>
      <c r="I158" s="192"/>
      <c r="J158" s="193"/>
      <c r="K158" s="139"/>
      <c r="L158" s="435"/>
      <c r="M158" s="435"/>
      <c r="N158" s="435"/>
      <c r="O158" s="435"/>
      <c r="P158" s="435"/>
      <c r="Q158" s="451"/>
      <c r="R158" s="452"/>
      <c r="S158" s="451"/>
      <c r="T158" s="451"/>
      <c r="U158" s="451"/>
      <c r="V158" s="478"/>
      <c r="W158" s="479"/>
      <c r="X158" s="478"/>
      <c r="Y158" s="478"/>
      <c r="Z158" s="481"/>
      <c r="AA158" s="190"/>
      <c r="AB158" s="190"/>
      <c r="AC158" s="190"/>
      <c r="AD158" s="190"/>
      <c r="AE158" s="190"/>
      <c r="AF158" s="190"/>
      <c r="AG158" s="190"/>
      <c r="AH158" s="190"/>
      <c r="AL158" s="197"/>
    </row>
    <row r="159" spans="1:121" ht="1.1499999999999999" customHeight="1" x14ac:dyDescent="0.25">
      <c r="A159" s="504"/>
      <c r="B159" s="505"/>
      <c r="C159" s="505"/>
      <c r="D159" s="506"/>
      <c r="E159" s="195"/>
      <c r="F159" s="195"/>
      <c r="G159" s="195"/>
      <c r="H159" s="254"/>
      <c r="I159" s="195"/>
      <c r="J159" s="254"/>
      <c r="K159" s="254"/>
      <c r="L159" s="435"/>
      <c r="M159" s="435"/>
      <c r="N159" s="435"/>
      <c r="O159" s="435"/>
      <c r="P159" s="435"/>
      <c r="Q159" s="454"/>
      <c r="R159" s="452"/>
      <c r="S159" s="454"/>
      <c r="T159" s="454"/>
      <c r="U159" s="454"/>
      <c r="V159" s="481"/>
      <c r="W159" s="479"/>
      <c r="X159" s="481"/>
      <c r="Y159" s="481"/>
      <c r="Z159" s="481"/>
      <c r="AA159" s="190"/>
      <c r="AB159" s="190"/>
      <c r="AC159" s="190"/>
      <c r="AD159" s="190"/>
      <c r="AE159" s="190"/>
      <c r="AF159" s="190"/>
      <c r="AG159" s="190"/>
      <c r="AH159" s="190"/>
      <c r="AL159" s="8"/>
    </row>
    <row r="160" spans="1:121" ht="18.600000000000001" customHeight="1" thickBot="1" x14ac:dyDescent="0.3">
      <c r="A160" s="528" t="s">
        <v>164</v>
      </c>
      <c r="B160" s="529"/>
      <c r="C160" s="529"/>
      <c r="D160" s="529"/>
      <c r="E160" s="529"/>
      <c r="F160" s="529"/>
      <c r="G160" s="529"/>
      <c r="H160" s="529"/>
      <c r="I160" s="529"/>
      <c r="J160" s="529"/>
      <c r="K160" s="529"/>
      <c r="L160" s="529"/>
      <c r="M160" s="529"/>
      <c r="N160" s="529"/>
      <c r="O160" s="529"/>
      <c r="P160" s="529"/>
      <c r="Q160" s="529"/>
      <c r="R160" s="529"/>
      <c r="S160" s="529"/>
      <c r="T160" s="529"/>
      <c r="U160" s="529"/>
      <c r="V160" s="529"/>
      <c r="W160" s="529"/>
      <c r="X160" s="529"/>
      <c r="Y160" s="529"/>
      <c r="Z160" s="529"/>
      <c r="AA160" s="529"/>
      <c r="AB160" s="529"/>
      <c r="AC160" s="529"/>
      <c r="AD160" s="529"/>
      <c r="AE160" s="529"/>
      <c r="AF160" s="529"/>
      <c r="AG160" s="529"/>
      <c r="AH160" s="530"/>
      <c r="AL160" s="8"/>
    </row>
    <row r="161" spans="1:38" ht="36.6" customHeight="1" thickBot="1" x14ac:dyDescent="0.3">
      <c r="A161" s="135"/>
      <c r="B161" s="143"/>
      <c r="C161" s="190" t="s">
        <v>165</v>
      </c>
      <c r="D161" s="256" t="s">
        <v>42</v>
      </c>
      <c r="E161" s="190">
        <v>100</v>
      </c>
      <c r="F161" s="338">
        <v>5</v>
      </c>
      <c r="G161" s="192">
        <f>E161</f>
        <v>100</v>
      </c>
      <c r="H161" s="193">
        <f>(G161*1)/25</f>
        <v>4</v>
      </c>
      <c r="I161" s="192">
        <f>(F161*25)-G161</f>
        <v>25</v>
      </c>
      <c r="J161" s="193">
        <f>(I161*1)/25</f>
        <v>1</v>
      </c>
      <c r="K161" s="139" t="s">
        <v>43</v>
      </c>
      <c r="L161" s="432"/>
      <c r="M161" s="432"/>
      <c r="N161" s="432"/>
      <c r="O161" s="432"/>
      <c r="P161" s="432"/>
      <c r="Q161" s="451"/>
      <c r="R161" s="451"/>
      <c r="S161" s="451"/>
      <c r="T161" s="451"/>
      <c r="U161" s="451"/>
      <c r="V161" s="478"/>
      <c r="W161" s="478"/>
      <c r="X161" s="478"/>
      <c r="Y161" s="478"/>
      <c r="Z161" s="478"/>
      <c r="AA161" s="190">
        <f>E161</f>
        <v>100</v>
      </c>
      <c r="AB161" s="194">
        <f>F161</f>
        <v>5</v>
      </c>
      <c r="AC161" s="190">
        <v>10</v>
      </c>
      <c r="AD161" s="190"/>
      <c r="AE161" s="190"/>
      <c r="AF161" s="190"/>
      <c r="AG161" s="190"/>
      <c r="AH161" s="190"/>
      <c r="AL161" s="133"/>
    </row>
    <row r="162" spans="1:38" ht="18.75" customHeight="1" x14ac:dyDescent="0.25"/>
    <row r="163" spans="1:38" ht="15.75" customHeight="1" x14ac:dyDescent="0.25">
      <c r="A163" s="501" t="s">
        <v>74</v>
      </c>
      <c r="B163" s="502"/>
      <c r="C163" s="502"/>
      <c r="D163" s="503"/>
      <c r="E163" s="195">
        <f>SUM(E147,E154)</f>
        <v>140</v>
      </c>
      <c r="F163" s="195">
        <f t="shared" ref="F163:J163" si="158">SUM(F147,F154)</f>
        <v>11</v>
      </c>
      <c r="G163" s="195">
        <f t="shared" si="158"/>
        <v>140</v>
      </c>
      <c r="H163" s="254">
        <f t="shared" si="158"/>
        <v>5.6</v>
      </c>
      <c r="I163" s="195">
        <f t="shared" si="158"/>
        <v>135</v>
      </c>
      <c r="J163" s="254">
        <f t="shared" si="158"/>
        <v>5.4</v>
      </c>
      <c r="K163" s="254"/>
      <c r="L163" s="435">
        <f>SUM(L147,L154)</f>
        <v>0</v>
      </c>
      <c r="M163" s="436">
        <f t="shared" ref="M163" si="159">SUM(M147,M154)</f>
        <v>0</v>
      </c>
      <c r="N163" s="435"/>
      <c r="O163" s="435"/>
      <c r="P163" s="435"/>
      <c r="Q163" s="454">
        <f>SUM(Q147,Q154)</f>
        <v>50</v>
      </c>
      <c r="R163" s="455">
        <f t="shared" ref="R163" si="160">SUM(R147,R154)</f>
        <v>3.125</v>
      </c>
      <c r="S163" s="454"/>
      <c r="T163" s="454"/>
      <c r="U163" s="454"/>
      <c r="V163" s="481">
        <f>SUM(V147,V154)</f>
        <v>90</v>
      </c>
      <c r="W163" s="482">
        <f t="shared" ref="W163" si="161">SUM(W147,W154)</f>
        <v>7.875</v>
      </c>
      <c r="X163" s="481"/>
      <c r="Y163" s="481"/>
      <c r="Z163" s="481"/>
      <c r="AA163" s="195">
        <f>SUM(AA147,AA154)</f>
        <v>0</v>
      </c>
      <c r="AB163" s="254">
        <f t="shared" ref="AB163" si="162">SUM(AB147,AB154)</f>
        <v>0</v>
      </c>
      <c r="AC163" s="190"/>
      <c r="AD163" s="190"/>
      <c r="AE163" s="190"/>
      <c r="AF163" s="190"/>
      <c r="AG163" s="190"/>
      <c r="AH163" s="190"/>
      <c r="AL163" s="8"/>
    </row>
    <row r="164" spans="1:38" ht="15" customHeight="1" x14ac:dyDescent="0.25">
      <c r="A164" s="504" t="s">
        <v>166</v>
      </c>
      <c r="B164" s="505"/>
      <c r="C164" s="505"/>
      <c r="D164" s="506"/>
      <c r="E164" s="190">
        <f>SUM(E140,E144,E149,E151:E152,E154,E161)</f>
        <v>435</v>
      </c>
      <c r="F164" s="190">
        <f t="shared" ref="F164:J164" si="163">SUM(F140,F144,F149,F151:F152,F154,F161)</f>
        <v>30</v>
      </c>
      <c r="G164" s="190">
        <f t="shared" si="163"/>
        <v>435</v>
      </c>
      <c r="H164" s="190">
        <f t="shared" si="163"/>
        <v>17.200000000000003</v>
      </c>
      <c r="I164" s="190">
        <f t="shared" si="163"/>
        <v>320</v>
      </c>
      <c r="J164" s="190">
        <f t="shared" si="163"/>
        <v>12.799999999999999</v>
      </c>
      <c r="K164" s="252"/>
      <c r="L164" s="432">
        <f t="shared" ref="L164:M164" si="164">SUM(L140,L144,L149,L151:L152,L154,L161)</f>
        <v>55</v>
      </c>
      <c r="M164" s="434">
        <f t="shared" si="164"/>
        <v>4</v>
      </c>
      <c r="N164" s="432"/>
      <c r="O164" s="432"/>
      <c r="P164" s="432"/>
      <c r="Q164" s="451">
        <f t="shared" ref="Q164:R164" si="165">SUM(Q140,Q144,Q149,Q151:Q152,Q154,Q161)</f>
        <v>80</v>
      </c>
      <c r="R164" s="453">
        <f t="shared" si="165"/>
        <v>5.25</v>
      </c>
      <c r="S164" s="451"/>
      <c r="T164" s="451"/>
      <c r="U164" s="451"/>
      <c r="V164" s="478">
        <f t="shared" ref="V164:W164" si="166">SUM(V140,V144,V149,V151:V152,V154,V161)</f>
        <v>200</v>
      </c>
      <c r="W164" s="480">
        <f t="shared" si="166"/>
        <v>15.75</v>
      </c>
      <c r="X164" s="478"/>
      <c r="Y164" s="478"/>
      <c r="Z164" s="478"/>
      <c r="AA164" s="190">
        <f>SUM(AA140,AA144,AA149,AA152,AA154,AA161)</f>
        <v>100</v>
      </c>
      <c r="AB164" s="252">
        <f>SUM(AB140,AB144,AB149,AB152,AB154,AB161)</f>
        <v>5</v>
      </c>
      <c r="AC164" s="190"/>
      <c r="AD164" s="190"/>
      <c r="AE164" s="190"/>
      <c r="AF164" s="190"/>
      <c r="AG164" s="190"/>
      <c r="AH164" s="190"/>
      <c r="AL164" s="8"/>
    </row>
    <row r="165" spans="1:38" ht="6.75" customHeight="1" x14ac:dyDescent="0.25">
      <c r="A165" s="507" t="s">
        <v>101</v>
      </c>
      <c r="B165" s="508"/>
      <c r="C165" s="508"/>
      <c r="D165" s="508"/>
      <c r="E165" s="508"/>
      <c r="F165" s="508"/>
      <c r="G165" s="508"/>
      <c r="H165" s="508"/>
      <c r="I165" s="508"/>
      <c r="J165" s="508"/>
      <c r="K165" s="508"/>
      <c r="L165" s="508"/>
      <c r="M165" s="508"/>
      <c r="N165" s="508"/>
      <c r="O165" s="508"/>
      <c r="P165" s="508"/>
      <c r="Q165" s="508"/>
      <c r="R165" s="508"/>
      <c r="S165" s="508"/>
      <c r="T165" s="508"/>
      <c r="U165" s="508"/>
      <c r="V165" s="508"/>
      <c r="W165" s="508"/>
      <c r="X165" s="508"/>
      <c r="Y165" s="508"/>
      <c r="Z165" s="508"/>
      <c r="AA165" s="508"/>
      <c r="AB165" s="508"/>
      <c r="AC165" s="508"/>
      <c r="AD165" s="508"/>
      <c r="AE165" s="508"/>
      <c r="AF165" s="508"/>
      <c r="AG165" s="508"/>
      <c r="AH165" s="509"/>
      <c r="AL165" s="8"/>
    </row>
    <row r="166" spans="1:38" ht="15.6" customHeight="1" x14ac:dyDescent="0.25">
      <c r="A166" s="510"/>
      <c r="B166" s="511"/>
      <c r="C166" s="511"/>
      <c r="D166" s="511"/>
      <c r="E166" s="511"/>
      <c r="F166" s="511"/>
      <c r="G166" s="511"/>
      <c r="H166" s="511"/>
      <c r="I166" s="511"/>
      <c r="J166" s="511"/>
      <c r="K166" s="511"/>
      <c r="L166" s="511"/>
      <c r="M166" s="511"/>
      <c r="N166" s="511"/>
      <c r="O166" s="511"/>
      <c r="P166" s="511"/>
      <c r="Q166" s="511"/>
      <c r="R166" s="511"/>
      <c r="S166" s="511"/>
      <c r="T166" s="511"/>
      <c r="U166" s="511"/>
      <c r="V166" s="511"/>
      <c r="W166" s="511"/>
      <c r="X166" s="511"/>
      <c r="Y166" s="511"/>
      <c r="Z166" s="511"/>
      <c r="AA166" s="511"/>
      <c r="AB166" s="511"/>
      <c r="AC166" s="511"/>
      <c r="AD166" s="511"/>
      <c r="AE166" s="511"/>
      <c r="AF166" s="511"/>
      <c r="AG166" s="511"/>
      <c r="AH166" s="512"/>
      <c r="AL166" s="8"/>
    </row>
    <row r="167" spans="1:38" ht="25.5" customHeight="1" x14ac:dyDescent="0.25">
      <c r="A167" s="513" t="s">
        <v>2</v>
      </c>
      <c r="B167" s="247"/>
      <c r="C167" s="513" t="s">
        <v>3</v>
      </c>
      <c r="D167" s="513" t="s">
        <v>4</v>
      </c>
      <c r="E167" s="504" t="s">
        <v>5</v>
      </c>
      <c r="F167" s="506"/>
      <c r="G167" s="522" t="s">
        <v>167</v>
      </c>
      <c r="H167" s="523"/>
      <c r="I167" s="523"/>
      <c r="J167" s="523"/>
      <c r="K167" s="523"/>
      <c r="L167" s="523"/>
      <c r="M167" s="523"/>
      <c r="N167" s="523"/>
      <c r="O167" s="523"/>
      <c r="P167" s="523"/>
      <c r="Q167" s="523"/>
      <c r="R167" s="523"/>
      <c r="S167" s="523"/>
      <c r="T167" s="523"/>
      <c r="U167" s="523"/>
      <c r="V167" s="523"/>
      <c r="W167" s="523"/>
      <c r="X167" s="523"/>
      <c r="Y167" s="523"/>
      <c r="Z167" s="523"/>
      <c r="AA167" s="523"/>
      <c r="AB167" s="523"/>
      <c r="AC167" s="523"/>
      <c r="AD167" s="523"/>
      <c r="AE167" s="523"/>
      <c r="AF167" s="523"/>
      <c r="AG167" s="523"/>
      <c r="AH167" s="524"/>
      <c r="AL167" s="500"/>
    </row>
    <row r="168" spans="1:38" ht="48.75" customHeight="1" x14ac:dyDescent="0.25">
      <c r="A168" s="514"/>
      <c r="B168" s="248"/>
      <c r="C168" s="514"/>
      <c r="D168" s="514"/>
      <c r="E168" s="516" t="s">
        <v>78</v>
      </c>
      <c r="F168" s="516" t="s">
        <v>8</v>
      </c>
      <c r="G168" s="516" t="s">
        <v>9</v>
      </c>
      <c r="H168" s="519" t="s">
        <v>8</v>
      </c>
      <c r="I168" s="516" t="s">
        <v>10</v>
      </c>
      <c r="J168" s="519" t="s">
        <v>8</v>
      </c>
      <c r="K168" s="519" t="s">
        <v>11</v>
      </c>
      <c r="L168" s="522" t="s">
        <v>12</v>
      </c>
      <c r="M168" s="523"/>
      <c r="N168" s="523"/>
      <c r="O168" s="523"/>
      <c r="P168" s="523"/>
      <c r="Q168" s="523"/>
      <c r="R168" s="523"/>
      <c r="S168" s="523"/>
      <c r="T168" s="523"/>
      <c r="U168" s="523"/>
      <c r="V168" s="523"/>
      <c r="W168" s="523"/>
      <c r="X168" s="523"/>
      <c r="Y168" s="523"/>
      <c r="Z168" s="524"/>
      <c r="AA168" s="522" t="s">
        <v>13</v>
      </c>
      <c r="AB168" s="523"/>
      <c r="AC168" s="523"/>
      <c r="AD168" s="523"/>
      <c r="AE168" s="523"/>
      <c r="AF168" s="523"/>
      <c r="AG168" s="523"/>
      <c r="AH168" s="524"/>
      <c r="AL168" s="500"/>
    </row>
    <row r="169" spans="1:38" ht="31.5" customHeight="1" x14ac:dyDescent="0.25">
      <c r="A169" s="514"/>
      <c r="B169" s="248"/>
      <c r="C169" s="514"/>
      <c r="D169" s="514"/>
      <c r="E169" s="517"/>
      <c r="F169" s="517"/>
      <c r="G169" s="517"/>
      <c r="H169" s="520"/>
      <c r="I169" s="517"/>
      <c r="J169" s="520"/>
      <c r="K169" s="520"/>
      <c r="L169" s="554" t="s">
        <v>79</v>
      </c>
      <c r="M169" s="555"/>
      <c r="N169" s="555"/>
      <c r="O169" s="555"/>
      <c r="P169" s="556"/>
      <c r="Q169" s="551" t="s">
        <v>80</v>
      </c>
      <c r="R169" s="552"/>
      <c r="S169" s="552"/>
      <c r="T169" s="552"/>
      <c r="U169" s="553"/>
      <c r="V169" s="548" t="s">
        <v>81</v>
      </c>
      <c r="W169" s="549"/>
      <c r="X169" s="549"/>
      <c r="Y169" s="549"/>
      <c r="Z169" s="550"/>
      <c r="AA169" s="522" t="s">
        <v>17</v>
      </c>
      <c r="AB169" s="523"/>
      <c r="AC169" s="523"/>
      <c r="AD169" s="524"/>
      <c r="AE169" s="522" t="s">
        <v>18</v>
      </c>
      <c r="AF169" s="523"/>
      <c r="AG169" s="523"/>
      <c r="AH169" s="524"/>
      <c r="AL169" s="500"/>
    </row>
    <row r="170" spans="1:38" ht="39" customHeight="1" x14ac:dyDescent="0.25">
      <c r="A170" s="515"/>
      <c r="B170" s="249"/>
      <c r="C170" s="515"/>
      <c r="D170" s="515"/>
      <c r="E170" s="518"/>
      <c r="F170" s="518"/>
      <c r="G170" s="518"/>
      <c r="H170" s="521"/>
      <c r="I170" s="518"/>
      <c r="J170" s="521"/>
      <c r="K170" s="521"/>
      <c r="L170" s="430" t="s">
        <v>19</v>
      </c>
      <c r="M170" s="431" t="s">
        <v>8</v>
      </c>
      <c r="N170" s="431" t="s">
        <v>20</v>
      </c>
      <c r="O170" s="430" t="s">
        <v>21</v>
      </c>
      <c r="P170" s="430" t="s">
        <v>22</v>
      </c>
      <c r="Q170" s="449" t="s">
        <v>19</v>
      </c>
      <c r="R170" s="450" t="s">
        <v>8</v>
      </c>
      <c r="S170" s="450" t="s">
        <v>20</v>
      </c>
      <c r="T170" s="449" t="s">
        <v>21</v>
      </c>
      <c r="U170" s="449" t="s">
        <v>22</v>
      </c>
      <c r="V170" s="476" t="s">
        <v>19</v>
      </c>
      <c r="W170" s="477" t="s">
        <v>8</v>
      </c>
      <c r="X170" s="477" t="s">
        <v>20</v>
      </c>
      <c r="Y170" s="476" t="s">
        <v>21</v>
      </c>
      <c r="Z170" s="476" t="s">
        <v>22</v>
      </c>
      <c r="AA170" s="135" t="s">
        <v>19</v>
      </c>
      <c r="AB170" s="250" t="s">
        <v>8</v>
      </c>
      <c r="AC170" s="250" t="s">
        <v>20</v>
      </c>
      <c r="AD170" s="135" t="s">
        <v>21</v>
      </c>
      <c r="AE170" s="135" t="s">
        <v>19</v>
      </c>
      <c r="AF170" s="250" t="s">
        <v>8</v>
      </c>
      <c r="AG170" s="250" t="s">
        <v>20</v>
      </c>
      <c r="AH170" s="135" t="s">
        <v>21</v>
      </c>
      <c r="AL170" s="500"/>
    </row>
    <row r="171" spans="1:38" ht="25.5" customHeight="1" x14ac:dyDescent="0.25">
      <c r="A171" s="522" t="s">
        <v>39</v>
      </c>
      <c r="B171" s="523"/>
      <c r="C171" s="523"/>
      <c r="D171" s="523"/>
      <c r="E171" s="523"/>
      <c r="F171" s="523"/>
      <c r="G171" s="523"/>
      <c r="H171" s="523"/>
      <c r="I171" s="523"/>
      <c r="J171" s="523"/>
      <c r="K171" s="523"/>
      <c r="L171" s="523"/>
      <c r="M171" s="523"/>
      <c r="N171" s="523"/>
      <c r="O171" s="523"/>
      <c r="P171" s="523"/>
      <c r="Q171" s="523"/>
      <c r="R171" s="523"/>
      <c r="S171" s="523"/>
      <c r="T171" s="523"/>
      <c r="U171" s="523"/>
      <c r="V171" s="523"/>
      <c r="W171" s="523"/>
      <c r="X171" s="523"/>
      <c r="Y171" s="523"/>
      <c r="Z171" s="523"/>
      <c r="AA171" s="523"/>
      <c r="AB171" s="523"/>
      <c r="AC171" s="523"/>
      <c r="AD171" s="523"/>
      <c r="AE171" s="523"/>
      <c r="AF171" s="523"/>
      <c r="AG171" s="523"/>
      <c r="AH171" s="524"/>
      <c r="AL171" s="8"/>
    </row>
    <row r="172" spans="1:38" ht="31.9" customHeight="1" x14ac:dyDescent="0.25">
      <c r="A172" s="251">
        <v>1</v>
      </c>
      <c r="B172" s="143"/>
      <c r="C172" s="190" t="s">
        <v>168</v>
      </c>
      <c r="D172" s="190" t="s">
        <v>169</v>
      </c>
      <c r="E172" s="190">
        <v>50</v>
      </c>
      <c r="F172" s="338">
        <v>4</v>
      </c>
      <c r="G172" s="192">
        <f>E172</f>
        <v>50</v>
      </c>
      <c r="H172" s="193">
        <f>(G172*1)/25</f>
        <v>2</v>
      </c>
      <c r="I172" s="192">
        <f>(F172*25)-G172</f>
        <v>50</v>
      </c>
      <c r="J172" s="193">
        <f>(I172*1)/25</f>
        <v>2</v>
      </c>
      <c r="K172" s="139" t="s">
        <v>30</v>
      </c>
      <c r="L172" s="432">
        <v>15</v>
      </c>
      <c r="M172" s="433">
        <f t="shared" ref="M172:M173" si="167">(L172*$F172)/$E172</f>
        <v>1.2</v>
      </c>
      <c r="N172" s="432"/>
      <c r="O172" s="432"/>
      <c r="P172" s="432"/>
      <c r="Q172" s="451">
        <v>30</v>
      </c>
      <c r="R172" s="452">
        <f t="shared" ref="R172:R173" si="168">(Q172*$F172)/$E172</f>
        <v>2.4</v>
      </c>
      <c r="S172" s="451">
        <v>10</v>
      </c>
      <c r="T172" s="451"/>
      <c r="U172" s="451"/>
      <c r="V172" s="478">
        <v>5</v>
      </c>
      <c r="W172" s="479">
        <f t="shared" ref="W172:W173" si="169">(V172*$F172)/$E172</f>
        <v>0.4</v>
      </c>
      <c r="X172" s="478" t="s">
        <v>871</v>
      </c>
      <c r="Y172" s="478"/>
      <c r="Z172" s="478"/>
      <c r="AA172" s="190"/>
      <c r="AB172" s="190"/>
      <c r="AC172" s="190"/>
      <c r="AD172" s="190"/>
      <c r="AE172" s="190"/>
      <c r="AF172" s="190"/>
      <c r="AG172" s="190"/>
      <c r="AH172" s="190"/>
      <c r="AL172" s="133"/>
    </row>
    <row r="173" spans="1:38" ht="15" customHeight="1" x14ac:dyDescent="0.25">
      <c r="A173" s="504" t="s">
        <v>52</v>
      </c>
      <c r="B173" s="505"/>
      <c r="C173" s="505"/>
      <c r="D173" s="506"/>
      <c r="E173" s="195">
        <f t="shared" ref="E173:L173" si="170">SUM(E172:E172)</f>
        <v>50</v>
      </c>
      <c r="F173" s="195">
        <f t="shared" si="170"/>
        <v>4</v>
      </c>
      <c r="G173" s="195">
        <f t="shared" si="170"/>
        <v>50</v>
      </c>
      <c r="H173" s="254">
        <f t="shared" si="170"/>
        <v>2</v>
      </c>
      <c r="I173" s="195">
        <f t="shared" si="170"/>
        <v>50</v>
      </c>
      <c r="J173" s="254">
        <f t="shared" si="170"/>
        <v>2</v>
      </c>
      <c r="K173" s="254"/>
      <c r="L173" s="435">
        <f t="shared" si="170"/>
        <v>15</v>
      </c>
      <c r="M173" s="433">
        <f t="shared" si="167"/>
        <v>1.2</v>
      </c>
      <c r="N173" s="435"/>
      <c r="O173" s="435"/>
      <c r="P173" s="435"/>
      <c r="Q173" s="454">
        <f>SUM(Q172:Q172)</f>
        <v>30</v>
      </c>
      <c r="R173" s="452">
        <f t="shared" si="168"/>
        <v>2.4</v>
      </c>
      <c r="S173" s="454"/>
      <c r="T173" s="454"/>
      <c r="U173" s="454"/>
      <c r="V173" s="481">
        <f>SUM(V172:V172)</f>
        <v>5</v>
      </c>
      <c r="W173" s="479">
        <f t="shared" si="169"/>
        <v>0.4</v>
      </c>
      <c r="X173" s="481"/>
      <c r="Y173" s="481"/>
      <c r="Z173" s="481"/>
      <c r="AA173" s="190"/>
      <c r="AB173" s="190"/>
      <c r="AC173" s="190"/>
      <c r="AD173" s="190"/>
      <c r="AE173" s="190"/>
      <c r="AF173" s="190"/>
      <c r="AG173" s="190"/>
      <c r="AH173" s="190"/>
      <c r="AL173" s="8"/>
    </row>
    <row r="174" spans="1:38" ht="24.6" customHeight="1" x14ac:dyDescent="0.25">
      <c r="A174" s="522" t="s">
        <v>135</v>
      </c>
      <c r="B174" s="523"/>
      <c r="C174" s="523"/>
      <c r="D174" s="523"/>
      <c r="E174" s="523"/>
      <c r="F174" s="523"/>
      <c r="G174" s="523"/>
      <c r="H174" s="523"/>
      <c r="I174" s="523"/>
      <c r="J174" s="523"/>
      <c r="K174" s="523"/>
      <c r="L174" s="523"/>
      <c r="M174" s="523"/>
      <c r="N174" s="523"/>
      <c r="O174" s="523"/>
      <c r="P174" s="523"/>
      <c r="Q174" s="523"/>
      <c r="R174" s="523"/>
      <c r="S174" s="523"/>
      <c r="T174" s="523"/>
      <c r="U174" s="523"/>
      <c r="V174" s="523"/>
      <c r="W174" s="523"/>
      <c r="X174" s="523"/>
      <c r="Y174" s="523"/>
      <c r="Z174" s="523"/>
      <c r="AA174" s="523"/>
      <c r="AB174" s="523"/>
      <c r="AC174" s="523"/>
      <c r="AD174" s="523"/>
      <c r="AE174" s="523"/>
      <c r="AF174" s="523"/>
      <c r="AG174" s="523"/>
      <c r="AH174" s="524"/>
      <c r="AJ174" s="121"/>
      <c r="AL174" s="8"/>
    </row>
    <row r="175" spans="1:38" ht="39.6" customHeight="1" x14ac:dyDescent="0.25">
      <c r="A175" s="251">
        <v>2</v>
      </c>
      <c r="B175" s="135"/>
      <c r="C175" s="190" t="s">
        <v>170</v>
      </c>
      <c r="D175" s="190" t="s">
        <v>171</v>
      </c>
      <c r="E175" s="190">
        <v>30</v>
      </c>
      <c r="F175" s="338">
        <v>2</v>
      </c>
      <c r="G175" s="192">
        <f>E175</f>
        <v>30</v>
      </c>
      <c r="H175" s="193">
        <f>(G175*1)/25</f>
        <v>1.2</v>
      </c>
      <c r="I175" s="192">
        <f>(F175*25)-G175</f>
        <v>20</v>
      </c>
      <c r="J175" s="193">
        <f>(I175*1)/25</f>
        <v>0.8</v>
      </c>
      <c r="K175" s="139" t="s">
        <v>26</v>
      </c>
      <c r="L175" s="432">
        <v>10</v>
      </c>
      <c r="M175" s="433">
        <f t="shared" ref="M175" si="171">(L175*$F175)/$E175</f>
        <v>0.66666666666666663</v>
      </c>
      <c r="N175" s="432"/>
      <c r="O175" s="432"/>
      <c r="P175" s="432"/>
      <c r="Q175" s="451">
        <v>10</v>
      </c>
      <c r="R175" s="452">
        <f t="shared" ref="R175" si="172">(Q175*$F175)/$E175</f>
        <v>0.66666666666666663</v>
      </c>
      <c r="S175" s="451">
        <v>10</v>
      </c>
      <c r="T175" s="451"/>
      <c r="U175" s="451"/>
      <c r="V175" s="478">
        <v>10</v>
      </c>
      <c r="W175" s="479">
        <f t="shared" ref="W175" si="173">(V175*$F175)/$E175</f>
        <v>0.66666666666666663</v>
      </c>
      <c r="X175" s="478" t="s">
        <v>871</v>
      </c>
      <c r="Y175" s="478"/>
      <c r="Z175" s="478"/>
      <c r="AA175" s="190"/>
      <c r="AB175" s="190"/>
      <c r="AC175" s="190"/>
      <c r="AD175" s="190"/>
      <c r="AE175" s="190"/>
      <c r="AF175" s="190"/>
      <c r="AG175" s="190"/>
      <c r="AH175" s="190"/>
      <c r="AL175" s="133"/>
    </row>
    <row r="176" spans="1:38" ht="2.4500000000000002" hidden="1" customHeight="1" x14ac:dyDescent="0.25">
      <c r="A176" s="251"/>
      <c r="B176" s="135"/>
      <c r="C176" s="190"/>
      <c r="D176" s="190"/>
      <c r="E176" s="190"/>
      <c r="F176" s="338"/>
      <c r="G176" s="192"/>
      <c r="H176" s="193"/>
      <c r="I176" s="192"/>
      <c r="J176" s="193"/>
      <c r="K176" s="139"/>
      <c r="L176" s="432"/>
      <c r="M176" s="433"/>
      <c r="N176" s="432"/>
      <c r="O176" s="432"/>
      <c r="P176" s="432"/>
      <c r="Q176" s="451"/>
      <c r="R176" s="452"/>
      <c r="S176" s="451"/>
      <c r="T176" s="451"/>
      <c r="U176" s="451"/>
      <c r="V176" s="478"/>
      <c r="W176" s="479"/>
      <c r="X176" s="478" t="s">
        <v>871</v>
      </c>
      <c r="Y176" s="478"/>
      <c r="Z176" s="478"/>
      <c r="AA176" s="190"/>
      <c r="AB176" s="190"/>
      <c r="AC176" s="190"/>
      <c r="AD176" s="190"/>
      <c r="AE176" s="190"/>
      <c r="AF176" s="190"/>
      <c r="AG176" s="190"/>
      <c r="AH176" s="190"/>
      <c r="AL176" s="133"/>
    </row>
    <row r="177" spans="1:121" ht="42" customHeight="1" x14ac:dyDescent="0.25">
      <c r="A177" s="251"/>
      <c r="B177" s="135"/>
      <c r="C177" s="263" t="s">
        <v>172</v>
      </c>
      <c r="D177" s="263" t="s">
        <v>173</v>
      </c>
      <c r="E177" s="263">
        <v>30</v>
      </c>
      <c r="F177" s="263">
        <v>2</v>
      </c>
      <c r="G177" s="264">
        <f>E177</f>
        <v>30</v>
      </c>
      <c r="H177" s="265">
        <f>(G177*1)/25</f>
        <v>1.2</v>
      </c>
      <c r="I177" s="264">
        <f>(F177*25)-G177</f>
        <v>20</v>
      </c>
      <c r="J177" s="265">
        <f>(I177*1)/25</f>
        <v>0.8</v>
      </c>
      <c r="K177" s="266" t="s">
        <v>26</v>
      </c>
      <c r="L177" s="432">
        <v>15</v>
      </c>
      <c r="M177" s="433">
        <f>(L177*$F177)/$E177</f>
        <v>1</v>
      </c>
      <c r="N177" s="432"/>
      <c r="O177" s="432"/>
      <c r="P177" s="432"/>
      <c r="Q177" s="451"/>
      <c r="R177" s="452"/>
      <c r="S177" s="451"/>
      <c r="T177" s="451"/>
      <c r="U177" s="451"/>
      <c r="V177" s="478">
        <v>15</v>
      </c>
      <c r="W177" s="479">
        <f>(V177*$F177)/$E177</f>
        <v>1</v>
      </c>
      <c r="X177" s="478" t="s">
        <v>871</v>
      </c>
      <c r="Y177" s="478"/>
      <c r="Z177" s="478"/>
      <c r="AA177" s="263"/>
      <c r="AB177" s="263"/>
      <c r="AC177" s="263"/>
      <c r="AD177" s="263"/>
      <c r="AE177" s="263"/>
      <c r="AF177" s="263"/>
      <c r="AG177" s="263"/>
      <c r="AH177" s="263"/>
      <c r="AI177" s="8">
        <v>15</v>
      </c>
      <c r="AL177" s="133"/>
    </row>
    <row r="178" spans="1:121" ht="45" customHeight="1" x14ac:dyDescent="0.25">
      <c r="A178" s="135"/>
      <c r="B178" s="143"/>
      <c r="C178" s="190" t="s">
        <v>174</v>
      </c>
      <c r="D178" s="190" t="s">
        <v>175</v>
      </c>
      <c r="E178" s="190">
        <v>2</v>
      </c>
      <c r="F178" s="190">
        <v>0</v>
      </c>
      <c r="G178" s="192">
        <f>E178</f>
        <v>2</v>
      </c>
      <c r="H178" s="193">
        <v>0</v>
      </c>
      <c r="I178" s="192">
        <v>0</v>
      </c>
      <c r="J178" s="193">
        <f>(I178*1)/25</f>
        <v>0</v>
      </c>
      <c r="K178" s="139" t="s">
        <v>43</v>
      </c>
      <c r="L178" s="432">
        <v>0</v>
      </c>
      <c r="M178" s="433">
        <f>(L178*$F178)/$E178</f>
        <v>0</v>
      </c>
      <c r="N178" s="432"/>
      <c r="O178" s="432"/>
      <c r="P178" s="432"/>
      <c r="Q178" s="451">
        <v>0</v>
      </c>
      <c r="R178" s="452">
        <v>0</v>
      </c>
      <c r="S178" s="451"/>
      <c r="T178" s="451"/>
      <c r="U178" s="451"/>
      <c r="V178" s="478">
        <v>2</v>
      </c>
      <c r="W178" s="479">
        <v>0</v>
      </c>
      <c r="X178" s="478" t="s">
        <v>871</v>
      </c>
      <c r="Y178" s="478"/>
      <c r="Z178" s="478"/>
      <c r="AA178" s="190"/>
      <c r="AB178" s="190"/>
      <c r="AC178" s="190"/>
      <c r="AD178" s="190"/>
      <c r="AE178" s="190"/>
      <c r="AF178" s="190"/>
      <c r="AG178" s="190"/>
      <c r="AH178" s="190"/>
      <c r="AI178" s="12" t="s">
        <v>176</v>
      </c>
      <c r="AJ178" s="8" t="s">
        <v>177</v>
      </c>
      <c r="AL178" s="133"/>
    </row>
    <row r="179" spans="1:121" ht="65.45" customHeight="1" x14ac:dyDescent="0.25">
      <c r="A179" s="135"/>
      <c r="B179" s="143"/>
      <c r="C179" s="190" t="s">
        <v>34</v>
      </c>
      <c r="D179" s="190" t="s">
        <v>35</v>
      </c>
      <c r="E179" s="190"/>
      <c r="F179" s="190"/>
      <c r="G179" s="192"/>
      <c r="H179" s="193"/>
      <c r="I179" s="192"/>
      <c r="J179" s="193"/>
      <c r="K179" s="139" t="s">
        <v>43</v>
      </c>
      <c r="L179" s="432"/>
      <c r="M179" s="433"/>
      <c r="N179" s="432"/>
      <c r="O179" s="432"/>
      <c r="P179" s="432"/>
      <c r="Q179" s="451"/>
      <c r="R179" s="452"/>
      <c r="S179" s="451"/>
      <c r="T179" s="451"/>
      <c r="U179" s="451"/>
      <c r="V179" s="478"/>
      <c r="W179" s="479"/>
      <c r="X179" s="478"/>
      <c r="Y179" s="478"/>
      <c r="Z179" s="478"/>
      <c r="AA179" s="190"/>
      <c r="AB179" s="190"/>
      <c r="AC179" s="190"/>
      <c r="AD179" s="190"/>
      <c r="AE179" s="190"/>
      <c r="AF179" s="190"/>
      <c r="AG179" s="190"/>
      <c r="AH179" s="190"/>
      <c r="AI179" s="12" t="s">
        <v>177</v>
      </c>
      <c r="AL179" s="133"/>
    </row>
    <row r="180" spans="1:121" ht="39.6" customHeight="1" x14ac:dyDescent="0.25">
      <c r="A180" s="135"/>
      <c r="B180" s="143"/>
      <c r="C180" s="198" t="s">
        <v>178</v>
      </c>
      <c r="D180" s="191" t="s">
        <v>42</v>
      </c>
      <c r="E180" s="195">
        <v>10</v>
      </c>
      <c r="F180" s="195">
        <v>1</v>
      </c>
      <c r="G180" s="192">
        <f>E180</f>
        <v>10</v>
      </c>
      <c r="H180" s="193">
        <f>(G180*1)/25</f>
        <v>0.4</v>
      </c>
      <c r="I180" s="192">
        <f>(F180*25)-G180</f>
        <v>15</v>
      </c>
      <c r="J180" s="193">
        <f>(I180*1)/25</f>
        <v>0.6</v>
      </c>
      <c r="K180" s="139" t="s">
        <v>26</v>
      </c>
      <c r="L180" s="432">
        <v>0</v>
      </c>
      <c r="M180" s="433">
        <f t="shared" ref="M180:M181" si="174">(L180*$F180)/$E180</f>
        <v>0</v>
      </c>
      <c r="N180" s="432"/>
      <c r="O180" s="432"/>
      <c r="P180" s="432"/>
      <c r="Q180" s="454">
        <v>0</v>
      </c>
      <c r="R180" s="452">
        <f t="shared" ref="R180" si="175">(Q180*$F180)/$E180</f>
        <v>0</v>
      </c>
      <c r="S180" s="451"/>
      <c r="T180" s="451"/>
      <c r="U180" s="451"/>
      <c r="V180" s="481">
        <v>10</v>
      </c>
      <c r="W180" s="479">
        <f t="shared" ref="W180" si="176">(V180*$F180)/$E180</f>
        <v>1</v>
      </c>
      <c r="X180" s="478" t="s">
        <v>871</v>
      </c>
      <c r="Y180" s="478"/>
      <c r="Z180" s="478"/>
      <c r="AA180" s="190"/>
      <c r="AB180" s="190"/>
      <c r="AC180" s="190"/>
      <c r="AD180" s="190"/>
      <c r="AE180" s="190"/>
      <c r="AF180" s="190"/>
      <c r="AG180" s="190"/>
      <c r="AH180" s="190"/>
      <c r="AI180" s="12"/>
      <c r="AL180" s="133"/>
    </row>
    <row r="181" spans="1:121" ht="47.45" customHeight="1" x14ac:dyDescent="0.25">
      <c r="A181" s="135"/>
      <c r="B181" s="143"/>
      <c r="C181" s="190" t="s">
        <v>179</v>
      </c>
      <c r="D181" s="191" t="s">
        <v>42</v>
      </c>
      <c r="E181" s="195">
        <v>20</v>
      </c>
      <c r="F181" s="195">
        <v>1</v>
      </c>
      <c r="G181" s="192">
        <f>E181</f>
        <v>20</v>
      </c>
      <c r="H181" s="193">
        <f>(G181*1)/25</f>
        <v>0.8</v>
      </c>
      <c r="I181" s="192">
        <f>(F181*25)-G181</f>
        <v>5</v>
      </c>
      <c r="J181" s="193">
        <f>(I181*1)/25</f>
        <v>0.2</v>
      </c>
      <c r="K181" s="139" t="s">
        <v>26</v>
      </c>
      <c r="L181" s="432">
        <v>0</v>
      </c>
      <c r="M181" s="433">
        <f t="shared" si="174"/>
        <v>0</v>
      </c>
      <c r="N181" s="432"/>
      <c r="O181" s="432"/>
      <c r="P181" s="432"/>
      <c r="Q181" s="451">
        <v>10</v>
      </c>
      <c r="R181" s="452">
        <f t="shared" ref="R181" si="177">(Q181*$F181)/$E181</f>
        <v>0.5</v>
      </c>
      <c r="S181" s="451">
        <v>10</v>
      </c>
      <c r="T181" s="451"/>
      <c r="U181" s="451"/>
      <c r="V181" s="481">
        <v>10</v>
      </c>
      <c r="W181" s="479">
        <f t="shared" ref="W181" si="178">(V181*$F181)/$E181</f>
        <v>0.5</v>
      </c>
      <c r="X181" s="478" t="s">
        <v>871</v>
      </c>
      <c r="Y181" s="478"/>
      <c r="Z181" s="478"/>
      <c r="AA181" s="190"/>
      <c r="AB181" s="190"/>
      <c r="AC181" s="190"/>
      <c r="AD181" s="190"/>
      <c r="AE181" s="190"/>
      <c r="AF181" s="190"/>
      <c r="AG181" s="190"/>
      <c r="AH181" s="190"/>
      <c r="AI181" s="12"/>
      <c r="AL181" s="133"/>
    </row>
    <row r="182" spans="1:121" s="11" customFormat="1" ht="18" customHeight="1" x14ac:dyDescent="0.25">
      <c r="A182" s="504" t="s">
        <v>64</v>
      </c>
      <c r="B182" s="505"/>
      <c r="C182" s="505"/>
      <c r="D182" s="506"/>
      <c r="E182" s="195">
        <f t="shared" ref="E182:J182" si="179">SUM(E175:E181)</f>
        <v>92</v>
      </c>
      <c r="F182" s="195">
        <f t="shared" si="179"/>
        <v>6</v>
      </c>
      <c r="G182" s="195">
        <f t="shared" si="179"/>
        <v>92</v>
      </c>
      <c r="H182" s="254">
        <f t="shared" si="179"/>
        <v>3.5999999999999996</v>
      </c>
      <c r="I182" s="195">
        <f t="shared" si="179"/>
        <v>60</v>
      </c>
      <c r="J182" s="254">
        <f t="shared" si="179"/>
        <v>2.4000000000000004</v>
      </c>
      <c r="K182" s="254"/>
      <c r="L182" s="435">
        <f>SUM(L175:L181)</f>
        <v>25</v>
      </c>
      <c r="M182" s="433">
        <f t="shared" ref="M182" si="180">(L182*$F182)/$E182</f>
        <v>1.6304347826086956</v>
      </c>
      <c r="N182" s="435"/>
      <c r="O182" s="435"/>
      <c r="P182" s="435"/>
      <c r="Q182" s="454">
        <f>SUM(Q175:Q181)</f>
        <v>20</v>
      </c>
      <c r="R182" s="452">
        <f t="shared" ref="R182" si="181">(Q182*$F182)/$E182</f>
        <v>1.3043478260869565</v>
      </c>
      <c r="S182" s="454"/>
      <c r="T182" s="454"/>
      <c r="U182" s="454"/>
      <c r="V182" s="481">
        <f>SUM(V175:V181)</f>
        <v>47</v>
      </c>
      <c r="W182" s="479">
        <f t="shared" ref="W182" si="182">(V182*$F182)/$E182</f>
        <v>3.0652173913043477</v>
      </c>
      <c r="X182" s="481"/>
      <c r="Y182" s="481"/>
      <c r="Z182" s="481"/>
      <c r="AA182" s="190"/>
      <c r="AB182" s="190"/>
      <c r="AC182" s="190"/>
      <c r="AD182" s="190"/>
      <c r="AE182" s="190"/>
      <c r="AF182" s="190"/>
      <c r="AG182" s="190"/>
      <c r="AH182" s="190"/>
      <c r="DM182" s="175"/>
      <c r="DN182" s="175"/>
    </row>
    <row r="183" spans="1:121" ht="21" customHeight="1" x14ac:dyDescent="0.25">
      <c r="A183" s="522" t="s">
        <v>65</v>
      </c>
      <c r="B183" s="523"/>
      <c r="C183" s="523"/>
      <c r="D183" s="523"/>
      <c r="E183" s="523"/>
      <c r="F183" s="523"/>
      <c r="G183" s="523"/>
      <c r="H183" s="523"/>
      <c r="I183" s="523"/>
      <c r="J183" s="523"/>
      <c r="K183" s="523"/>
      <c r="L183" s="523"/>
      <c r="M183" s="523"/>
      <c r="N183" s="523"/>
      <c r="O183" s="523"/>
      <c r="P183" s="523"/>
      <c r="Q183" s="523"/>
      <c r="R183" s="523"/>
      <c r="S183" s="523"/>
      <c r="T183" s="523"/>
      <c r="U183" s="523"/>
      <c r="V183" s="523"/>
      <c r="W183" s="523"/>
      <c r="X183" s="523"/>
      <c r="Y183" s="523"/>
      <c r="Z183" s="523"/>
      <c r="AA183" s="523"/>
      <c r="AB183" s="523"/>
      <c r="AC183" s="523"/>
      <c r="AD183" s="523"/>
      <c r="AE183" s="523"/>
      <c r="AF183" s="523"/>
      <c r="AG183" s="523"/>
      <c r="AH183" s="524"/>
      <c r="AL183" s="8"/>
    </row>
    <row r="184" spans="1:121" ht="0.6" hidden="1" customHeight="1" x14ac:dyDescent="0.25">
      <c r="A184" s="135"/>
      <c r="B184" s="143"/>
      <c r="C184" s="263"/>
      <c r="D184" s="270"/>
      <c r="E184" s="271"/>
      <c r="F184" s="271"/>
      <c r="G184" s="264"/>
      <c r="H184" s="265"/>
      <c r="I184" s="264"/>
      <c r="J184" s="265"/>
      <c r="K184" s="139"/>
      <c r="L184" s="432"/>
      <c r="M184" s="432"/>
      <c r="N184" s="432"/>
      <c r="O184" s="432"/>
      <c r="P184" s="432"/>
      <c r="Q184" s="451"/>
      <c r="R184" s="451"/>
      <c r="S184" s="451"/>
      <c r="T184" s="451"/>
      <c r="U184" s="451"/>
      <c r="V184" s="481"/>
      <c r="W184" s="479"/>
      <c r="X184" s="481"/>
      <c r="Y184" s="481"/>
      <c r="Z184" s="481"/>
      <c r="AA184" s="263"/>
      <c r="AB184" s="263"/>
      <c r="AC184" s="263"/>
      <c r="AD184" s="263"/>
      <c r="AE184" s="263"/>
      <c r="AF184" s="263"/>
      <c r="AG184" s="263"/>
      <c r="AH184" s="263"/>
      <c r="AL184" s="197"/>
    </row>
    <row r="185" spans="1:121" ht="0.6" hidden="1" customHeight="1" x14ac:dyDescent="0.25">
      <c r="A185" s="135"/>
      <c r="B185" s="143"/>
      <c r="C185" s="190"/>
      <c r="D185" s="191"/>
      <c r="E185" s="195"/>
      <c r="F185" s="195"/>
      <c r="G185" s="192"/>
      <c r="H185" s="193"/>
      <c r="I185" s="192"/>
      <c r="J185" s="193"/>
      <c r="K185" s="139"/>
      <c r="L185" s="432"/>
      <c r="M185" s="433"/>
      <c r="N185" s="432"/>
      <c r="O185" s="432"/>
      <c r="P185" s="432"/>
      <c r="Q185" s="451"/>
      <c r="R185" s="452"/>
      <c r="S185" s="451"/>
      <c r="T185" s="451"/>
      <c r="U185" s="451"/>
      <c r="V185" s="478"/>
      <c r="W185" s="479"/>
      <c r="X185" s="478"/>
      <c r="Y185" s="478"/>
      <c r="Z185" s="478"/>
      <c r="AA185" s="190"/>
      <c r="AB185" s="190"/>
      <c r="AC185" s="190"/>
      <c r="AD185" s="190"/>
      <c r="AE185" s="190"/>
      <c r="AF185" s="190"/>
      <c r="AG185" s="190"/>
      <c r="AH185" s="190"/>
      <c r="AL185" s="197"/>
    </row>
    <row r="186" spans="1:121" ht="0.6" hidden="1" customHeight="1" x14ac:dyDescent="0.25">
      <c r="A186" s="251"/>
      <c r="B186" s="135"/>
      <c r="C186" s="190"/>
      <c r="D186" s="190"/>
      <c r="E186" s="190"/>
      <c r="F186" s="190"/>
      <c r="G186" s="192"/>
      <c r="H186" s="193"/>
      <c r="I186" s="192"/>
      <c r="J186" s="193"/>
      <c r="K186" s="139"/>
      <c r="L186" s="432"/>
      <c r="M186" s="432"/>
      <c r="N186" s="432"/>
      <c r="O186" s="432"/>
      <c r="P186" s="432"/>
      <c r="Q186" s="451"/>
      <c r="R186" s="451"/>
      <c r="S186" s="451"/>
      <c r="T186" s="451"/>
      <c r="U186" s="451"/>
      <c r="V186" s="478"/>
      <c r="W186" s="479"/>
      <c r="X186" s="478"/>
      <c r="Y186" s="478"/>
      <c r="Z186" s="478"/>
      <c r="AA186" s="190"/>
      <c r="AB186" s="190"/>
      <c r="AC186" s="190"/>
      <c r="AD186" s="190"/>
      <c r="AE186" s="190"/>
      <c r="AF186" s="190"/>
      <c r="AG186" s="190"/>
      <c r="AH186" s="190"/>
      <c r="AI186" s="140"/>
      <c r="AL186" s="133"/>
    </row>
    <row r="187" spans="1:121" ht="19.899999999999999" customHeight="1" x14ac:dyDescent="0.25">
      <c r="A187" s="522" t="s">
        <v>72</v>
      </c>
      <c r="B187" s="523"/>
      <c r="C187" s="523"/>
      <c r="D187" s="523"/>
      <c r="E187" s="523"/>
      <c r="F187" s="523"/>
      <c r="G187" s="523"/>
      <c r="H187" s="523"/>
      <c r="I187" s="523"/>
      <c r="J187" s="523"/>
      <c r="K187" s="523"/>
      <c r="L187" s="523"/>
      <c r="M187" s="523"/>
      <c r="N187" s="523"/>
      <c r="O187" s="523"/>
      <c r="P187" s="523"/>
      <c r="Q187" s="523"/>
      <c r="R187" s="523"/>
      <c r="S187" s="523"/>
      <c r="T187" s="523"/>
      <c r="U187" s="523"/>
      <c r="V187" s="523"/>
      <c r="W187" s="523"/>
      <c r="X187" s="523"/>
      <c r="Y187" s="523"/>
      <c r="Z187" s="523"/>
      <c r="AA187" s="523"/>
      <c r="AB187" s="523"/>
      <c r="AC187" s="523"/>
      <c r="AD187" s="523"/>
      <c r="AE187" s="523"/>
      <c r="AF187" s="523"/>
      <c r="AG187" s="524"/>
      <c r="AH187" s="190"/>
      <c r="AL187" s="8"/>
    </row>
    <row r="188" spans="1:121" ht="34.15" customHeight="1" x14ac:dyDescent="0.25">
      <c r="A188" s="135"/>
      <c r="B188" s="135"/>
      <c r="C188" s="536" t="s">
        <v>180</v>
      </c>
      <c r="D188" s="537"/>
      <c r="E188" s="342">
        <v>60</v>
      </c>
      <c r="F188" s="342">
        <v>4</v>
      </c>
      <c r="G188" s="333">
        <f>E188</f>
        <v>60</v>
      </c>
      <c r="H188" s="334">
        <f>(G188*1)/25</f>
        <v>2.4</v>
      </c>
      <c r="I188" s="333">
        <f>(F188*25)-G188</f>
        <v>40</v>
      </c>
      <c r="J188" s="334">
        <f>(I188*1)/25</f>
        <v>1.6</v>
      </c>
      <c r="K188" s="335" t="s">
        <v>43</v>
      </c>
      <c r="L188" s="435"/>
      <c r="M188" s="435"/>
      <c r="N188" s="435"/>
      <c r="O188" s="435"/>
      <c r="P188" s="435"/>
      <c r="Q188" s="451">
        <v>0</v>
      </c>
      <c r="R188" s="452">
        <f t="shared" ref="R188" si="183">(Q188*$F188)/$E188</f>
        <v>0</v>
      </c>
      <c r="S188" s="454"/>
      <c r="T188" s="454"/>
      <c r="U188" s="454"/>
      <c r="V188" s="478">
        <f>E188</f>
        <v>60</v>
      </c>
      <c r="W188" s="479">
        <f t="shared" ref="W188" si="184">(V188*$F188)/$E188</f>
        <v>4</v>
      </c>
      <c r="X188" s="478" t="s">
        <v>871</v>
      </c>
      <c r="Y188" s="481"/>
      <c r="Z188" s="481"/>
      <c r="AA188" s="332"/>
      <c r="AB188" s="332"/>
      <c r="AC188" s="332"/>
      <c r="AD188" s="332"/>
      <c r="AE188" s="332"/>
      <c r="AF188" s="332"/>
      <c r="AG188" s="332"/>
      <c r="AH188" s="332"/>
      <c r="AI188" s="8">
        <f>4*15</f>
        <v>60</v>
      </c>
      <c r="AL188" s="197"/>
      <c r="DQ188" s="170"/>
    </row>
    <row r="189" spans="1:121" ht="40.15" hidden="1" customHeight="1" x14ac:dyDescent="0.25">
      <c r="A189" s="135"/>
      <c r="B189" s="143"/>
      <c r="C189" s="190"/>
      <c r="D189" s="191"/>
      <c r="E189" s="195"/>
      <c r="F189" s="195"/>
      <c r="G189" s="192"/>
      <c r="H189" s="193"/>
      <c r="I189" s="192"/>
      <c r="J189" s="193"/>
      <c r="K189" s="139"/>
      <c r="L189" s="432"/>
      <c r="M189" s="433"/>
      <c r="N189" s="432"/>
      <c r="O189" s="432"/>
      <c r="P189" s="432"/>
      <c r="Q189" s="451"/>
      <c r="R189" s="451"/>
      <c r="S189" s="451"/>
      <c r="T189" s="451"/>
      <c r="U189" s="451"/>
      <c r="V189" s="481"/>
      <c r="W189" s="479"/>
      <c r="X189" s="478"/>
      <c r="Y189" s="478"/>
      <c r="Z189" s="478"/>
      <c r="AA189" s="190"/>
      <c r="AB189" s="190"/>
      <c r="AC189" s="190"/>
      <c r="AD189" s="190"/>
      <c r="AE189" s="190"/>
      <c r="AF189" s="190"/>
      <c r="AG189" s="190"/>
      <c r="AH189" s="190"/>
      <c r="AL189" s="197"/>
    </row>
    <row r="190" spans="1:121" ht="33.6" hidden="1" customHeight="1" x14ac:dyDescent="0.25">
      <c r="A190" s="135"/>
      <c r="B190" s="135"/>
      <c r="C190" s="263"/>
      <c r="D190" s="270"/>
      <c r="E190" s="271"/>
      <c r="F190" s="271"/>
      <c r="G190" s="264"/>
      <c r="H190" s="265"/>
      <c r="I190" s="264"/>
      <c r="J190" s="265"/>
      <c r="K190" s="139"/>
      <c r="L190" s="432"/>
      <c r="M190" s="432"/>
      <c r="N190" s="432"/>
      <c r="O190" s="432"/>
      <c r="P190" s="432"/>
      <c r="Q190" s="451"/>
      <c r="R190" s="451"/>
      <c r="S190" s="451"/>
      <c r="T190" s="451"/>
      <c r="U190" s="451"/>
      <c r="V190" s="481"/>
      <c r="W190" s="479"/>
      <c r="X190" s="481"/>
      <c r="Y190" s="481"/>
      <c r="Z190" s="481"/>
      <c r="AA190" s="263"/>
      <c r="AB190" s="263"/>
      <c r="AC190" s="263"/>
      <c r="AD190" s="263"/>
      <c r="AE190" s="263"/>
      <c r="AF190" s="263"/>
      <c r="AG190" s="263"/>
      <c r="AH190" s="263"/>
      <c r="AL190" s="197"/>
    </row>
    <row r="191" spans="1:121" ht="41.25" hidden="1" customHeight="1" x14ac:dyDescent="0.25">
      <c r="A191" s="135"/>
      <c r="B191" s="135"/>
      <c r="C191" s="190"/>
      <c r="D191" s="191"/>
      <c r="E191" s="195"/>
      <c r="F191" s="195"/>
      <c r="G191" s="192"/>
      <c r="H191" s="193"/>
      <c r="I191" s="192"/>
      <c r="J191" s="193"/>
      <c r="K191" s="350"/>
      <c r="L191" s="432"/>
      <c r="M191" s="433"/>
      <c r="N191" s="432"/>
      <c r="O191" s="432"/>
      <c r="P191" s="432"/>
      <c r="Q191" s="451"/>
      <c r="R191" s="452"/>
      <c r="S191" s="451"/>
      <c r="T191" s="451"/>
      <c r="U191" s="451"/>
      <c r="V191" s="478"/>
      <c r="W191" s="479"/>
      <c r="X191" s="478"/>
      <c r="Y191" s="478"/>
      <c r="Z191" s="478"/>
      <c r="AA191" s="190"/>
      <c r="AB191" s="190"/>
      <c r="AC191" s="190"/>
      <c r="AD191" s="190"/>
      <c r="AE191" s="190"/>
      <c r="AF191" s="190"/>
      <c r="AG191" s="190"/>
      <c r="AH191" s="190"/>
      <c r="AL191" s="197"/>
    </row>
    <row r="192" spans="1:121" ht="39" hidden="1" customHeight="1" x14ac:dyDescent="0.25">
      <c r="A192" s="135"/>
      <c r="B192" s="143"/>
      <c r="C192" s="190"/>
      <c r="D192" s="191"/>
      <c r="E192" s="195"/>
      <c r="F192" s="195"/>
      <c r="G192" s="192"/>
      <c r="H192" s="193"/>
      <c r="I192" s="192"/>
      <c r="J192" s="193"/>
      <c r="K192" s="350"/>
      <c r="L192" s="432"/>
      <c r="M192" s="433"/>
      <c r="N192" s="432"/>
      <c r="O192" s="432"/>
      <c r="P192" s="432"/>
      <c r="Q192" s="451"/>
      <c r="R192" s="452"/>
      <c r="S192" s="451"/>
      <c r="T192" s="451"/>
      <c r="U192" s="451"/>
      <c r="V192" s="478"/>
      <c r="W192" s="479"/>
      <c r="X192" s="478"/>
      <c r="Y192" s="478"/>
      <c r="Z192" s="478"/>
      <c r="AA192" s="190"/>
      <c r="AB192" s="190"/>
      <c r="AC192" s="190"/>
      <c r="AD192" s="190"/>
      <c r="AE192" s="190"/>
      <c r="AF192" s="190"/>
      <c r="AG192" s="190"/>
      <c r="AH192" s="190"/>
      <c r="AL192" s="197"/>
    </row>
    <row r="193" spans="1:121" ht="26.45" customHeight="1" thickBot="1" x14ac:dyDescent="0.3">
      <c r="A193" s="528" t="s">
        <v>164</v>
      </c>
      <c r="B193" s="529"/>
      <c r="C193" s="529"/>
      <c r="D193" s="529"/>
      <c r="E193" s="529"/>
      <c r="F193" s="529"/>
      <c r="G193" s="529"/>
      <c r="H193" s="529"/>
      <c r="I193" s="529"/>
      <c r="J193" s="529"/>
      <c r="K193" s="529"/>
      <c r="L193" s="529"/>
      <c r="M193" s="529"/>
      <c r="N193" s="529"/>
      <c r="O193" s="529"/>
      <c r="P193" s="529"/>
      <c r="Q193" s="529"/>
      <c r="R193" s="529"/>
      <c r="S193" s="529"/>
      <c r="T193" s="529"/>
      <c r="U193" s="529"/>
      <c r="V193" s="529"/>
      <c r="W193" s="529"/>
      <c r="X193" s="529"/>
      <c r="Y193" s="529"/>
      <c r="Z193" s="529"/>
      <c r="AA193" s="529"/>
      <c r="AB193" s="529"/>
      <c r="AC193" s="529"/>
      <c r="AD193" s="529"/>
      <c r="AE193" s="529"/>
      <c r="AF193" s="529"/>
      <c r="AG193" s="529"/>
      <c r="AH193" s="530"/>
      <c r="AL193" s="8"/>
    </row>
    <row r="194" spans="1:121" ht="45" customHeight="1" thickBot="1" x14ac:dyDescent="0.3">
      <c r="A194" s="135">
        <v>8</v>
      </c>
      <c r="B194" s="143"/>
      <c r="C194" s="190" t="s">
        <v>165</v>
      </c>
      <c r="D194" s="256" t="s">
        <v>42</v>
      </c>
      <c r="E194" s="190">
        <v>100</v>
      </c>
      <c r="F194" s="190">
        <v>6</v>
      </c>
      <c r="G194" s="192">
        <f>E194</f>
        <v>100</v>
      </c>
      <c r="H194" s="193">
        <f>(G194*1)/25</f>
        <v>4</v>
      </c>
      <c r="I194" s="192">
        <f>(F194*25)-G194</f>
        <v>50</v>
      </c>
      <c r="J194" s="193">
        <f>(I194*1)/25</f>
        <v>2</v>
      </c>
      <c r="K194" s="429" t="s">
        <v>698</v>
      </c>
      <c r="L194" s="432"/>
      <c r="M194" s="432"/>
      <c r="N194" s="432"/>
      <c r="O194" s="432"/>
      <c r="P194" s="432"/>
      <c r="Q194" s="451"/>
      <c r="R194" s="451"/>
      <c r="S194" s="451"/>
      <c r="T194" s="451"/>
      <c r="U194" s="451"/>
      <c r="V194" s="478"/>
      <c r="W194" s="478"/>
      <c r="X194" s="478"/>
      <c r="Y194" s="478"/>
      <c r="Z194" s="478"/>
      <c r="AA194" s="190">
        <f>E194</f>
        <v>100</v>
      </c>
      <c r="AB194" s="194">
        <f>F194</f>
        <v>6</v>
      </c>
      <c r="AC194" s="190">
        <v>10</v>
      </c>
      <c r="AD194" s="190"/>
      <c r="AE194" s="190"/>
      <c r="AF194" s="190"/>
      <c r="AG194" s="190"/>
      <c r="AH194" s="190"/>
      <c r="AL194" s="133"/>
    </row>
    <row r="195" spans="1:121" ht="27" customHeight="1" x14ac:dyDescent="0.25">
      <c r="A195" s="531" t="s">
        <v>181</v>
      </c>
      <c r="B195" s="532"/>
      <c r="C195" s="532"/>
      <c r="D195" s="532"/>
      <c r="E195" s="532"/>
      <c r="F195" s="532"/>
      <c r="G195" s="532"/>
      <c r="H195" s="532"/>
      <c r="I195" s="532"/>
      <c r="J195" s="532"/>
      <c r="K195" s="532"/>
      <c r="L195" s="532"/>
      <c r="M195" s="532"/>
      <c r="N195" s="532"/>
      <c r="O195" s="532"/>
      <c r="P195" s="532"/>
      <c r="Q195" s="532"/>
      <c r="R195" s="532"/>
      <c r="S195" s="532"/>
      <c r="T195" s="532"/>
      <c r="U195" s="532"/>
      <c r="V195" s="532"/>
      <c r="W195" s="532"/>
      <c r="X195" s="532"/>
      <c r="Y195" s="532"/>
      <c r="Z195" s="532"/>
      <c r="AA195" s="532"/>
      <c r="AB195" s="532"/>
      <c r="AC195" s="532"/>
      <c r="AD195" s="532"/>
      <c r="AE195" s="532"/>
      <c r="AF195" s="532"/>
      <c r="AG195" s="532"/>
      <c r="AH195" s="533"/>
      <c r="AL195" s="8"/>
    </row>
    <row r="196" spans="1:121" ht="24.75" customHeight="1" x14ac:dyDescent="0.25">
      <c r="A196" s="251">
        <v>9</v>
      </c>
      <c r="B196" s="247"/>
      <c r="C196" s="259" t="s">
        <v>182</v>
      </c>
      <c r="D196" s="257" t="s">
        <v>183</v>
      </c>
      <c r="E196" s="258">
        <v>50</v>
      </c>
      <c r="F196" s="538">
        <v>7</v>
      </c>
      <c r="G196" s="540">
        <f>E196+E197</f>
        <v>55</v>
      </c>
      <c r="H196" s="542">
        <f>(G196*1)/25</f>
        <v>2.2000000000000002</v>
      </c>
      <c r="I196" s="540">
        <f>(F196*25)-G196</f>
        <v>120</v>
      </c>
      <c r="J196" s="542">
        <f>(I196*1)/25</f>
        <v>4.8</v>
      </c>
      <c r="K196" s="534" t="s">
        <v>26</v>
      </c>
      <c r="L196" s="435"/>
      <c r="M196" s="433"/>
      <c r="N196" s="435"/>
      <c r="O196" s="435"/>
      <c r="P196" s="435"/>
      <c r="Q196" s="457"/>
      <c r="R196" s="449"/>
      <c r="S196" s="454"/>
      <c r="T196" s="454"/>
      <c r="U196" s="458"/>
      <c r="V196" s="486">
        <f>E196</f>
        <v>50</v>
      </c>
      <c r="W196" s="544">
        <f>(V196*$F196)/$E196</f>
        <v>7</v>
      </c>
      <c r="X196" s="478">
        <v>1</v>
      </c>
      <c r="Y196" s="478"/>
      <c r="Z196" s="478"/>
      <c r="AA196" s="190"/>
      <c r="AB196" s="190"/>
      <c r="AC196" s="190"/>
      <c r="AD196" s="190"/>
      <c r="AE196" s="190"/>
      <c r="AF196" s="190"/>
      <c r="AG196" s="190"/>
      <c r="AH196" s="190" t="s">
        <v>184</v>
      </c>
      <c r="AI196" s="8" t="s">
        <v>185</v>
      </c>
      <c r="AL196" s="198"/>
    </row>
    <row r="197" spans="1:121" ht="29.45" customHeight="1" x14ac:dyDescent="0.25">
      <c r="A197" s="251"/>
      <c r="B197" s="247"/>
      <c r="C197" s="190"/>
      <c r="D197" s="257" t="s">
        <v>186</v>
      </c>
      <c r="E197" s="195">
        <v>5</v>
      </c>
      <c r="F197" s="539"/>
      <c r="G197" s="541"/>
      <c r="H197" s="543"/>
      <c r="I197" s="541"/>
      <c r="J197" s="543"/>
      <c r="K197" s="535"/>
      <c r="L197" s="432">
        <v>5</v>
      </c>
      <c r="M197" s="433">
        <f>(L197*$F197)/$E197</f>
        <v>0</v>
      </c>
      <c r="N197" s="435"/>
      <c r="O197" s="435"/>
      <c r="P197" s="435" t="s">
        <v>50</v>
      </c>
      <c r="Q197" s="457"/>
      <c r="R197" s="449"/>
      <c r="S197" s="454"/>
      <c r="T197" s="454"/>
      <c r="U197" s="458"/>
      <c r="V197" s="486"/>
      <c r="W197" s="545"/>
      <c r="X197" s="478"/>
      <c r="Y197" s="478"/>
      <c r="Z197" s="478"/>
      <c r="AA197" s="190"/>
      <c r="AB197" s="190"/>
      <c r="AC197" s="190"/>
      <c r="AD197" s="190"/>
      <c r="AE197" s="190"/>
      <c r="AF197" s="190"/>
      <c r="AG197" s="190"/>
      <c r="AH197" s="190" t="s">
        <v>187</v>
      </c>
      <c r="AL197" s="198"/>
    </row>
    <row r="198" spans="1:121" ht="31.15" customHeight="1" x14ac:dyDescent="0.25">
      <c r="A198" s="251">
        <v>10</v>
      </c>
      <c r="B198" s="135"/>
      <c r="C198" s="191" t="s">
        <v>188</v>
      </c>
      <c r="D198" s="257" t="s">
        <v>183</v>
      </c>
      <c r="E198" s="195">
        <v>3</v>
      </c>
      <c r="F198" s="195">
        <v>3</v>
      </c>
      <c r="G198" s="192">
        <f>E198</f>
        <v>3</v>
      </c>
      <c r="H198" s="193">
        <f>(G198*1)/25</f>
        <v>0.12</v>
      </c>
      <c r="I198" s="192">
        <f>(F198*25)-G198</f>
        <v>72</v>
      </c>
      <c r="J198" s="193">
        <f>(I198*1)/25</f>
        <v>2.88</v>
      </c>
      <c r="K198" s="351" t="s">
        <v>189</v>
      </c>
      <c r="L198" s="435"/>
      <c r="M198" s="433"/>
      <c r="N198" s="435"/>
      <c r="O198" s="435"/>
      <c r="P198" s="435"/>
      <c r="Q198" s="454"/>
      <c r="R198" s="454"/>
      <c r="S198" s="454"/>
      <c r="T198" s="454"/>
      <c r="U198" s="454"/>
      <c r="V198" s="486">
        <v>3</v>
      </c>
      <c r="W198" s="479">
        <f>(V198*$F198)/$E198</f>
        <v>3</v>
      </c>
      <c r="X198" s="481">
        <v>1</v>
      </c>
      <c r="Y198" s="478"/>
      <c r="Z198" s="478"/>
      <c r="AA198" s="190"/>
      <c r="AB198" s="190"/>
      <c r="AC198" s="190"/>
      <c r="AD198" s="190"/>
      <c r="AE198" s="190"/>
      <c r="AF198" s="190"/>
      <c r="AG198" s="190"/>
      <c r="AH198" s="190" t="s">
        <v>190</v>
      </c>
      <c r="AI198" s="8" t="s">
        <v>177</v>
      </c>
      <c r="AL198" s="198"/>
    </row>
    <row r="199" spans="1:121" ht="18.75" customHeight="1" x14ac:dyDescent="0.25">
      <c r="A199" s="501" t="s">
        <v>74</v>
      </c>
      <c r="B199" s="502"/>
      <c r="C199" s="502"/>
      <c r="D199" s="503"/>
      <c r="E199" s="195">
        <f t="shared" ref="E199:J199" si="185">SUM(E188,E194,E196)</f>
        <v>210</v>
      </c>
      <c r="F199" s="195">
        <f t="shared" si="185"/>
        <v>17</v>
      </c>
      <c r="G199" s="195">
        <f t="shared" si="185"/>
        <v>215</v>
      </c>
      <c r="H199" s="254">
        <f t="shared" si="185"/>
        <v>8.6000000000000014</v>
      </c>
      <c r="I199" s="195">
        <f t="shared" si="185"/>
        <v>210</v>
      </c>
      <c r="J199" s="254">
        <f t="shared" si="185"/>
        <v>8.4</v>
      </c>
      <c r="K199" s="254"/>
      <c r="L199" s="435">
        <f>SUM(L188,L194,L196)</f>
        <v>0</v>
      </c>
      <c r="M199" s="435">
        <f>SUM(M188,M194,M196)</f>
        <v>0</v>
      </c>
      <c r="N199" s="435"/>
      <c r="O199" s="435"/>
      <c r="P199" s="435"/>
      <c r="Q199" s="454">
        <f>SUM(Q188,Q194,Q196)</f>
        <v>0</v>
      </c>
      <c r="R199" s="454">
        <f>SUM(R188,R194,R196)</f>
        <v>0</v>
      </c>
      <c r="S199" s="454"/>
      <c r="T199" s="454"/>
      <c r="U199" s="454"/>
      <c r="V199" s="481">
        <f>SUM(V188,V194,V196)</f>
        <v>110</v>
      </c>
      <c r="W199" s="481">
        <f>SUM(W188,W194,W196)</f>
        <v>11</v>
      </c>
      <c r="X199" s="481"/>
      <c r="Y199" s="481"/>
      <c r="Z199" s="481"/>
      <c r="AA199" s="195">
        <f>SUM(AA188,AA194,AA196)</f>
        <v>100</v>
      </c>
      <c r="AB199" s="195">
        <f>SUM(AB188,AB194,AB196)</f>
        <v>6</v>
      </c>
      <c r="AC199" s="190"/>
      <c r="AD199" s="190"/>
      <c r="AE199" s="190"/>
      <c r="AF199" s="190"/>
      <c r="AG199" s="190"/>
      <c r="AH199" s="190"/>
      <c r="AL199" s="8"/>
    </row>
    <row r="200" spans="1:121" ht="17.45" customHeight="1" x14ac:dyDescent="0.25">
      <c r="A200" s="504" t="s">
        <v>191</v>
      </c>
      <c r="B200" s="505"/>
      <c r="C200" s="505"/>
      <c r="D200" s="506"/>
      <c r="E200" s="190">
        <f>SUM(E173,E182,E188,E194,E196:E198)</f>
        <v>360</v>
      </c>
      <c r="F200" s="190">
        <f t="shared" ref="F200:J200" si="186">SUM(F173,F182,F188,F194,F196:F198)</f>
        <v>30</v>
      </c>
      <c r="G200" s="190">
        <f t="shared" si="186"/>
        <v>360</v>
      </c>
      <c r="H200" s="252">
        <f t="shared" si="186"/>
        <v>14.319999999999999</v>
      </c>
      <c r="I200" s="190">
        <f t="shared" si="186"/>
        <v>392</v>
      </c>
      <c r="J200" s="252">
        <f t="shared" si="186"/>
        <v>15.68</v>
      </c>
      <c r="K200" s="252"/>
      <c r="L200" s="432">
        <f t="shared" ref="L200:M200" si="187">SUM(L173,L182,L188,L194,L196:L198)</f>
        <v>45</v>
      </c>
      <c r="M200" s="434">
        <f t="shared" si="187"/>
        <v>2.8304347826086955</v>
      </c>
      <c r="N200" s="432"/>
      <c r="O200" s="432"/>
      <c r="P200" s="432"/>
      <c r="Q200" s="451">
        <f t="shared" ref="Q200:R200" si="188">SUM(Q173,Q182,Q188,Q194,Q196:Q198)</f>
        <v>50</v>
      </c>
      <c r="R200" s="453">
        <f t="shared" si="188"/>
        <v>3.7043478260869565</v>
      </c>
      <c r="S200" s="451"/>
      <c r="T200" s="451"/>
      <c r="U200" s="451"/>
      <c r="V200" s="478">
        <f>SUM(V173,V182,V186,V188,V194,V196:V198)</f>
        <v>165</v>
      </c>
      <c r="W200" s="480">
        <f>SUM(W173,W182,W188,W194,W196:W198)</f>
        <v>17.46521739130435</v>
      </c>
      <c r="X200" s="478"/>
      <c r="Y200" s="478"/>
      <c r="Z200" s="478"/>
      <c r="AA200" s="190">
        <f t="shared" ref="AA200:AB200" si="189">SUM(AA173,AA182,AA188,AA194,AA196:AA198)</f>
        <v>100</v>
      </c>
      <c r="AB200" s="252">
        <f t="shared" si="189"/>
        <v>6</v>
      </c>
      <c r="AC200" s="190"/>
      <c r="AD200" s="190"/>
      <c r="AE200" s="190"/>
      <c r="AF200" s="190"/>
      <c r="AG200" s="190"/>
      <c r="AH200" s="190"/>
      <c r="AL200" s="8"/>
    </row>
    <row r="201" spans="1:121" ht="19.899999999999999" customHeight="1" x14ac:dyDescent="0.25">
      <c r="A201" s="525" t="s">
        <v>101</v>
      </c>
      <c r="B201" s="526"/>
      <c r="C201" s="526"/>
      <c r="D201" s="526"/>
      <c r="E201" s="526"/>
      <c r="F201" s="526"/>
      <c r="G201" s="526"/>
      <c r="H201" s="526"/>
      <c r="I201" s="526"/>
      <c r="J201" s="526"/>
      <c r="K201" s="526"/>
      <c r="L201" s="526"/>
      <c r="M201" s="526"/>
      <c r="N201" s="526"/>
      <c r="O201" s="526"/>
      <c r="P201" s="526"/>
      <c r="Q201" s="526"/>
      <c r="R201" s="526"/>
      <c r="S201" s="526"/>
      <c r="T201" s="526"/>
      <c r="U201" s="526"/>
      <c r="V201" s="526"/>
      <c r="W201" s="526"/>
      <c r="X201" s="526"/>
      <c r="Y201" s="526"/>
      <c r="Z201" s="526"/>
      <c r="AA201" s="526"/>
      <c r="AB201" s="526"/>
      <c r="AC201" s="526"/>
      <c r="AD201" s="526"/>
      <c r="AE201" s="526"/>
      <c r="AF201" s="526"/>
      <c r="AG201" s="526"/>
      <c r="AH201" s="527"/>
      <c r="AL201" s="8"/>
    </row>
    <row r="202" spans="1:121" ht="15" customHeight="1" x14ac:dyDescent="0.25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438"/>
      <c r="M202" s="438"/>
      <c r="N202" s="438"/>
      <c r="O202" s="438"/>
      <c r="P202" s="438"/>
      <c r="Q202" s="459"/>
      <c r="R202" s="459"/>
      <c r="S202" s="459"/>
      <c r="T202" s="459"/>
      <c r="U202" s="459"/>
      <c r="V202" s="487"/>
      <c r="W202" s="487"/>
      <c r="X202" s="487"/>
      <c r="Y202" s="487"/>
      <c r="Z202" s="487"/>
      <c r="AA202" s="132"/>
      <c r="AB202" s="132"/>
      <c r="AC202" s="132"/>
      <c r="AD202" s="132"/>
      <c r="AE202" s="132"/>
      <c r="AF202" s="132"/>
      <c r="AG202" s="132"/>
      <c r="AH202" s="132"/>
      <c r="AL202" s="132"/>
    </row>
    <row r="203" spans="1:121" ht="15" customHeight="1" x14ac:dyDescent="0.25">
      <c r="A203" s="132"/>
      <c r="B203" s="132"/>
      <c r="C203" s="132"/>
      <c r="D203" s="132" t="s">
        <v>192</v>
      </c>
      <c r="E203" s="132" t="s">
        <v>193</v>
      </c>
      <c r="F203" s="132" t="s">
        <v>8</v>
      </c>
      <c r="G203" s="132" t="s">
        <v>193</v>
      </c>
      <c r="H203" s="132"/>
      <c r="I203" s="132" t="s">
        <v>194</v>
      </c>
      <c r="J203" s="132"/>
      <c r="K203" s="132" t="s">
        <v>195</v>
      </c>
      <c r="L203" s="438"/>
      <c r="M203" s="438" t="s">
        <v>196</v>
      </c>
      <c r="N203" s="438"/>
      <c r="O203" s="438" t="s">
        <v>197</v>
      </c>
      <c r="P203" s="438"/>
      <c r="Q203" s="459"/>
      <c r="R203" s="459"/>
      <c r="S203" s="459"/>
      <c r="T203" s="459"/>
      <c r="U203" s="459"/>
      <c r="V203" s="487"/>
      <c r="W203" s="487"/>
      <c r="X203" s="487"/>
      <c r="Y203" s="487"/>
      <c r="Z203" s="487"/>
      <c r="AA203" s="132"/>
      <c r="AB203" s="132"/>
      <c r="AC203" s="132"/>
      <c r="AD203" s="132"/>
      <c r="AE203" s="132"/>
      <c r="AF203" s="132"/>
      <c r="AG203" s="132"/>
      <c r="AH203" s="132"/>
      <c r="AK203" s="8" t="s">
        <v>198</v>
      </c>
      <c r="AM203" s="8" t="s">
        <v>8</v>
      </c>
      <c r="AN203" s="8" t="s">
        <v>193</v>
      </c>
    </row>
    <row r="204" spans="1:121" ht="28.9" customHeight="1" x14ac:dyDescent="0.25">
      <c r="A204" s="132"/>
      <c r="B204" s="132"/>
      <c r="C204" s="132" t="s">
        <v>199</v>
      </c>
      <c r="D204" s="133">
        <f>E14+E15+E81+E143</f>
        <v>140</v>
      </c>
      <c r="E204" s="330">
        <f>(D204/D216)*100</f>
        <v>5.6000000000000005</v>
      </c>
      <c r="F204" s="133">
        <f>F14+F15+F81+F143</f>
        <v>11</v>
      </c>
      <c r="G204" s="330">
        <f>(F204/F216)*100</f>
        <v>6.1111111111111107</v>
      </c>
      <c r="H204" s="132"/>
      <c r="I204" s="133">
        <f>AK204-D204</f>
        <v>215</v>
      </c>
      <c r="J204" s="132"/>
      <c r="K204" s="133">
        <f>AM204-F204</f>
        <v>18</v>
      </c>
      <c r="L204" s="438"/>
      <c r="M204" s="439">
        <f>100 -(D204*100/AK204)</f>
        <v>60.563380281690144</v>
      </c>
      <c r="N204" s="438"/>
      <c r="O204" s="440">
        <f>100 -(F204*100/AM204)</f>
        <v>62.068965517241381</v>
      </c>
      <c r="P204" s="438"/>
      <c r="Q204" s="459"/>
      <c r="R204" s="459"/>
      <c r="S204" s="459"/>
      <c r="T204" s="459"/>
      <c r="U204" s="459"/>
      <c r="V204" s="487"/>
      <c r="W204" s="487"/>
      <c r="X204" s="487"/>
      <c r="Y204" s="487"/>
      <c r="Z204" s="487"/>
      <c r="AA204" s="132"/>
      <c r="AB204" s="132"/>
      <c r="AC204" s="132"/>
      <c r="AD204" s="132"/>
      <c r="AE204" s="132"/>
      <c r="AF204" s="132"/>
      <c r="AG204" s="132"/>
      <c r="AH204" s="132"/>
      <c r="AJ204" s="10" t="s">
        <v>200</v>
      </c>
      <c r="AK204" s="8">
        <v>355</v>
      </c>
      <c r="AM204" s="8">
        <v>29</v>
      </c>
      <c r="AN204" s="189">
        <v>16.111111111111111</v>
      </c>
    </row>
    <row r="205" spans="1:121" x14ac:dyDescent="0.25">
      <c r="A205" s="132"/>
      <c r="B205" s="132"/>
      <c r="C205" s="132" t="s">
        <v>201</v>
      </c>
      <c r="D205" s="132">
        <v>30</v>
      </c>
      <c r="E205" s="330">
        <f>(D205/D216)*100</f>
        <v>1.2</v>
      </c>
      <c r="F205" s="132">
        <v>2</v>
      </c>
      <c r="G205" s="330">
        <f>(F205/F216)*100</f>
        <v>1.1111111111111112</v>
      </c>
      <c r="H205" s="132"/>
      <c r="I205" s="132"/>
      <c r="J205" s="132"/>
      <c r="K205" s="132"/>
      <c r="L205" s="438"/>
      <c r="M205" s="438"/>
      <c r="N205" s="438"/>
      <c r="O205" s="438"/>
      <c r="P205" s="438"/>
      <c r="Q205" s="459"/>
      <c r="R205" s="459"/>
      <c r="S205" s="459"/>
      <c r="T205" s="459"/>
      <c r="U205" s="459"/>
      <c r="V205" s="487"/>
      <c r="W205" s="487"/>
      <c r="X205" s="487"/>
      <c r="Y205" s="487"/>
      <c r="Z205" s="487"/>
      <c r="AA205" s="132"/>
      <c r="AB205" s="132"/>
      <c r="AC205" s="132"/>
      <c r="AD205" s="132"/>
      <c r="AE205" s="132"/>
      <c r="AF205" s="132"/>
      <c r="AG205" s="132"/>
      <c r="AH205" s="132"/>
    </row>
    <row r="206" spans="1:121" x14ac:dyDescent="0.25">
      <c r="A206" s="132"/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438"/>
      <c r="M206" s="438"/>
      <c r="N206" s="438"/>
      <c r="O206" s="438"/>
      <c r="P206" s="438"/>
      <c r="Q206" s="459"/>
      <c r="R206" s="459"/>
      <c r="S206" s="459"/>
      <c r="T206" s="459"/>
      <c r="U206" s="459"/>
      <c r="V206" s="487"/>
      <c r="W206" s="487"/>
      <c r="X206" s="487"/>
      <c r="Y206" s="487"/>
      <c r="Z206" s="487"/>
      <c r="AA206" s="132"/>
      <c r="AB206" s="132"/>
      <c r="AC206" s="132"/>
      <c r="AD206" s="132"/>
      <c r="AE206" s="132"/>
      <c r="AF206" s="132"/>
      <c r="AG206" s="132"/>
      <c r="AH206" s="132"/>
    </row>
    <row r="207" spans="1:121" ht="15" customHeight="1" x14ac:dyDescent="0.25">
      <c r="A207" s="17"/>
      <c r="B207" s="58"/>
      <c r="C207" s="18" t="s">
        <v>202</v>
      </c>
      <c r="D207" s="18"/>
      <c r="E207" s="18"/>
      <c r="F207" s="36"/>
      <c r="G207" s="36"/>
      <c r="H207" s="31"/>
      <c r="I207" s="34"/>
      <c r="J207" s="31"/>
      <c r="K207" s="31"/>
      <c r="L207" s="441"/>
      <c r="M207" s="441"/>
      <c r="N207" s="441"/>
      <c r="O207" s="441"/>
      <c r="P207" s="441"/>
      <c r="Q207" s="460"/>
      <c r="R207" s="460"/>
      <c r="S207" s="460"/>
      <c r="T207" s="460"/>
      <c r="U207" s="460"/>
      <c r="V207" s="488"/>
      <c r="W207" s="488"/>
      <c r="X207" s="488"/>
      <c r="Y207" s="488"/>
      <c r="Z207" s="488"/>
      <c r="AA207" s="58"/>
      <c r="AB207" s="58"/>
      <c r="AC207" s="58"/>
      <c r="AD207" s="58"/>
      <c r="AE207" s="58"/>
      <c r="AF207" s="58"/>
      <c r="AG207" s="58"/>
      <c r="AH207" s="58"/>
    </row>
    <row r="208" spans="1:121" s="15" customFormat="1" ht="22.15" customHeight="1" x14ac:dyDescent="0.25">
      <c r="A208" s="9"/>
      <c r="B208" s="9"/>
      <c r="C208" s="10"/>
      <c r="D208" s="10" t="s">
        <v>203</v>
      </c>
      <c r="E208" s="10"/>
      <c r="F208" s="30"/>
      <c r="G208" s="30"/>
      <c r="H208" s="32"/>
      <c r="I208" s="30"/>
      <c r="J208" s="32"/>
      <c r="K208" s="115"/>
      <c r="L208" s="437"/>
      <c r="M208" s="437"/>
      <c r="N208" s="437"/>
      <c r="O208" s="437"/>
      <c r="P208" s="437"/>
      <c r="Q208" s="456"/>
      <c r="R208" s="456"/>
      <c r="S208" s="461"/>
      <c r="T208" s="461"/>
      <c r="U208" s="461"/>
      <c r="V208" s="489"/>
      <c r="W208" s="489"/>
      <c r="X208" s="489"/>
      <c r="Y208" s="489"/>
      <c r="Z208" s="489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2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0"/>
      <c r="DM208" s="80"/>
      <c r="DN208" s="8"/>
      <c r="DO208" s="8"/>
      <c r="DP208" s="8"/>
      <c r="DQ208" s="8"/>
    </row>
    <row r="209" spans="1:121" s="15" customFormat="1" ht="37.9" customHeight="1" x14ac:dyDescent="0.25">
      <c r="A209" s="14"/>
      <c r="B209" s="10"/>
      <c r="C209" s="28"/>
      <c r="D209" s="38" t="s">
        <v>204</v>
      </c>
      <c r="E209" s="39" t="s">
        <v>205</v>
      </c>
      <c r="F209" s="37" t="s">
        <v>8</v>
      </c>
      <c r="G209" s="40" t="s">
        <v>205</v>
      </c>
      <c r="H209" s="42" t="s">
        <v>206</v>
      </c>
      <c r="I209" s="40" t="s">
        <v>205</v>
      </c>
      <c r="J209" s="42" t="s">
        <v>207</v>
      </c>
      <c r="K209" s="39" t="s">
        <v>205</v>
      </c>
      <c r="L209" s="442" t="s">
        <v>208</v>
      </c>
      <c r="M209" s="443" t="s">
        <v>205</v>
      </c>
      <c r="N209" s="442" t="s">
        <v>209</v>
      </c>
      <c r="O209" s="443" t="s">
        <v>205</v>
      </c>
      <c r="P209" s="442" t="s">
        <v>184</v>
      </c>
      <c r="Q209" s="462" t="s">
        <v>205</v>
      </c>
      <c r="R209" s="463" t="s">
        <v>210</v>
      </c>
      <c r="S209" s="463" t="s">
        <v>205</v>
      </c>
      <c r="T209" s="463" t="s">
        <v>211</v>
      </c>
      <c r="U209" s="461"/>
      <c r="V209" s="489"/>
      <c r="W209" s="489"/>
      <c r="X209" s="489"/>
      <c r="Y209" s="490"/>
      <c r="Z209" s="489"/>
      <c r="AA209" s="8"/>
      <c r="AB209" s="136"/>
      <c r="AC209" s="8"/>
      <c r="AD209" s="8"/>
      <c r="AE209" s="8"/>
      <c r="AF209" s="8"/>
      <c r="AG209" s="8"/>
      <c r="AH209" s="8"/>
      <c r="AI209" s="8"/>
      <c r="AJ209" s="8"/>
      <c r="AK209" s="8"/>
      <c r="AL209" s="2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0"/>
      <c r="DM209" s="80"/>
      <c r="DN209" s="8"/>
      <c r="DO209" s="8"/>
      <c r="DP209" s="8"/>
      <c r="DQ209" s="8"/>
    </row>
    <row r="210" spans="1:121" s="15" customFormat="1" ht="21" customHeight="1" x14ac:dyDescent="0.25">
      <c r="A210" s="14"/>
      <c r="B210" s="10"/>
      <c r="C210" s="41" t="s">
        <v>212</v>
      </c>
      <c r="D210" s="22">
        <f>E34</f>
        <v>430</v>
      </c>
      <c r="E210" s="22">
        <f t="shared" ref="E210:E240" si="190">(D210/$D$216)*100</f>
        <v>17.2</v>
      </c>
      <c r="F210" s="22">
        <f>F34</f>
        <v>30</v>
      </c>
      <c r="G210" s="16">
        <f t="shared" ref="G210:G215" si="191">(F210/$F$216)*100</f>
        <v>16.666666666666664</v>
      </c>
      <c r="H210" s="22">
        <f>L34</f>
        <v>100</v>
      </c>
      <c r="I210" s="22">
        <f t="shared" ref="I210:I219" si="192">(H210/$D$216)*100</f>
        <v>4</v>
      </c>
      <c r="J210" s="22">
        <f>Q34</f>
        <v>135</v>
      </c>
      <c r="K210" s="22">
        <f t="shared" ref="K210:K219" si="193">(J210/$D$216)*100</f>
        <v>5.4</v>
      </c>
      <c r="L210" s="444">
        <f>V34</f>
        <v>195</v>
      </c>
      <c r="M210" s="444">
        <f t="shared" ref="M210:M219" si="194">(L210/$D$216)*100</f>
        <v>7.8</v>
      </c>
      <c r="N210" s="444">
        <f>AA107</f>
        <v>0</v>
      </c>
      <c r="O210" s="444">
        <f t="shared" ref="O210:O219" si="195">(N210/$D$216)*100</f>
        <v>0</v>
      </c>
      <c r="P210" s="444">
        <f>AE107</f>
        <v>0</v>
      </c>
      <c r="Q210" s="464">
        <f t="shared" ref="Q210:S219" si="196">(P210/$D$216)*100</f>
        <v>0</v>
      </c>
      <c r="R210" s="465"/>
      <c r="S210" s="466">
        <f>(R210/$D$216)*100</f>
        <v>0</v>
      </c>
      <c r="T210" s="465">
        <f>SUM($H210,$J210,$L210,$N210,$P210,$R210)</f>
        <v>430</v>
      </c>
      <c r="U210" s="461"/>
      <c r="V210" s="489"/>
      <c r="W210" s="489"/>
      <c r="X210" s="489"/>
      <c r="Y210" s="490"/>
      <c r="Z210" s="489"/>
      <c r="AA210" s="8"/>
      <c r="AB210" s="117"/>
      <c r="AC210" s="8"/>
      <c r="AD210" s="8"/>
      <c r="AE210" s="8"/>
      <c r="AF210" s="8"/>
      <c r="AG210" s="8"/>
      <c r="AH210" s="8"/>
      <c r="AI210" s="8"/>
      <c r="AJ210" s="8"/>
      <c r="AK210" s="8"/>
      <c r="AL210" s="2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0"/>
      <c r="DM210" s="80"/>
      <c r="DN210" s="8"/>
      <c r="DO210" s="8"/>
      <c r="DP210" s="8"/>
      <c r="DQ210" s="8"/>
    </row>
    <row r="211" spans="1:121" s="15" customFormat="1" ht="18.75" customHeight="1" x14ac:dyDescent="0.25">
      <c r="A211" s="14"/>
      <c r="B211" s="10"/>
      <c r="C211" s="41" t="s">
        <v>213</v>
      </c>
      <c r="D211" s="22">
        <f>E66</f>
        <v>420</v>
      </c>
      <c r="E211" s="22">
        <f t="shared" si="190"/>
        <v>16.8</v>
      </c>
      <c r="F211" s="22">
        <f>F66</f>
        <v>30</v>
      </c>
      <c r="G211" s="16">
        <f t="shared" si="191"/>
        <v>16.666666666666664</v>
      </c>
      <c r="H211" s="22">
        <f>L66</f>
        <v>45</v>
      </c>
      <c r="I211" s="22">
        <f t="shared" si="192"/>
        <v>1.7999999999999998</v>
      </c>
      <c r="J211" s="22">
        <f>Q66</f>
        <v>120</v>
      </c>
      <c r="K211" s="22">
        <f t="shared" si="193"/>
        <v>4.8</v>
      </c>
      <c r="L211" s="444">
        <f>V66</f>
        <v>180</v>
      </c>
      <c r="M211" s="444">
        <f t="shared" si="194"/>
        <v>7.1999999999999993</v>
      </c>
      <c r="N211" s="444">
        <f>AA66</f>
        <v>0</v>
      </c>
      <c r="O211" s="444">
        <f t="shared" si="195"/>
        <v>0</v>
      </c>
      <c r="P211" s="444">
        <f>AE66</f>
        <v>75</v>
      </c>
      <c r="Q211" s="464">
        <f t="shared" si="196"/>
        <v>3</v>
      </c>
      <c r="R211" s="465"/>
      <c r="S211" s="466">
        <f t="shared" ref="S211:S215" si="197">(R211/$D$216)*100</f>
        <v>0</v>
      </c>
      <c r="T211" s="465">
        <f>SUM($H211,$J211,$L211,$N211,$P211,$R211)</f>
        <v>420</v>
      </c>
      <c r="U211" s="461"/>
      <c r="V211" s="489"/>
      <c r="W211" s="489"/>
      <c r="X211" s="489"/>
      <c r="Y211" s="491"/>
      <c r="Z211" s="489"/>
      <c r="AA211" s="8"/>
      <c r="AB211" s="117"/>
      <c r="AC211" s="8"/>
      <c r="AD211" s="8"/>
      <c r="AE211" s="8"/>
      <c r="AF211" s="8"/>
      <c r="AG211" s="8"/>
      <c r="AH211" s="8"/>
      <c r="AI211" s="8"/>
      <c r="AJ211" s="8"/>
      <c r="AK211" s="8"/>
      <c r="AL211" s="2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0"/>
      <c r="DM211" s="80"/>
      <c r="DN211" s="8"/>
      <c r="DO211" s="8"/>
      <c r="DP211" s="8"/>
      <c r="DQ211" s="8"/>
    </row>
    <row r="212" spans="1:121" s="15" customFormat="1" ht="18.75" customHeight="1" x14ac:dyDescent="0.25">
      <c r="A212" s="14"/>
      <c r="B212" s="10"/>
      <c r="C212" s="41" t="s">
        <v>214</v>
      </c>
      <c r="D212" s="22">
        <f>E96</f>
        <v>420</v>
      </c>
      <c r="E212" s="22">
        <f t="shared" si="190"/>
        <v>16.8</v>
      </c>
      <c r="F212" s="22">
        <f>F96</f>
        <v>30</v>
      </c>
      <c r="G212" s="16">
        <f t="shared" si="191"/>
        <v>16.666666666666664</v>
      </c>
      <c r="H212" s="22">
        <f>L96</f>
        <v>85</v>
      </c>
      <c r="I212" s="22">
        <f t="shared" si="192"/>
        <v>3.4000000000000004</v>
      </c>
      <c r="J212" s="22">
        <f>Q96</f>
        <v>160</v>
      </c>
      <c r="K212" s="22">
        <f t="shared" si="193"/>
        <v>6.4</v>
      </c>
      <c r="L212" s="444">
        <f>V96</f>
        <v>175</v>
      </c>
      <c r="M212" s="444">
        <f t="shared" si="194"/>
        <v>7.0000000000000009</v>
      </c>
      <c r="N212" s="444">
        <f>AA96</f>
        <v>0</v>
      </c>
      <c r="O212" s="444">
        <f t="shared" si="195"/>
        <v>0</v>
      </c>
      <c r="P212" s="444">
        <f>AE96</f>
        <v>0</v>
      </c>
      <c r="Q212" s="464">
        <f t="shared" si="196"/>
        <v>0</v>
      </c>
      <c r="R212" s="465"/>
      <c r="S212" s="466">
        <f t="shared" si="197"/>
        <v>0</v>
      </c>
      <c r="T212" s="465">
        <f>SUM($H212,$J212,$L212,$N212,$P212,$R212)</f>
        <v>420</v>
      </c>
      <c r="U212" s="461"/>
      <c r="V212" s="489"/>
      <c r="W212" s="489"/>
      <c r="X212" s="489"/>
      <c r="Y212" s="491"/>
      <c r="Z212" s="489"/>
      <c r="AA212" s="8"/>
      <c r="AB212" s="117"/>
      <c r="AC212" s="8"/>
      <c r="AD212" s="8"/>
      <c r="AE212" s="8"/>
      <c r="AF212" s="8"/>
      <c r="AG212" s="8"/>
      <c r="AH212" s="8"/>
      <c r="AI212" s="8"/>
      <c r="AJ212" s="8"/>
      <c r="AK212" s="8"/>
      <c r="AL212" s="2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0"/>
      <c r="DM212" s="80"/>
      <c r="DN212" s="8"/>
      <c r="DO212" s="8"/>
      <c r="DP212" s="8"/>
      <c r="DQ212" s="8"/>
    </row>
    <row r="213" spans="1:121" s="15" customFormat="1" ht="18.75" customHeight="1" x14ac:dyDescent="0.25">
      <c r="A213" s="14"/>
      <c r="B213" s="10"/>
      <c r="C213" s="41" t="s">
        <v>215</v>
      </c>
      <c r="D213" s="22">
        <f>E131</f>
        <v>435</v>
      </c>
      <c r="E213" s="22">
        <f t="shared" si="190"/>
        <v>17.399999999999999</v>
      </c>
      <c r="F213" s="22">
        <f>F131</f>
        <v>30</v>
      </c>
      <c r="G213" s="16">
        <f t="shared" si="191"/>
        <v>16.666666666666664</v>
      </c>
      <c r="H213" s="22">
        <f>L131</f>
        <v>50</v>
      </c>
      <c r="I213" s="22">
        <f t="shared" si="192"/>
        <v>2</v>
      </c>
      <c r="J213" s="22">
        <f>Q131</f>
        <v>105</v>
      </c>
      <c r="K213" s="22">
        <f t="shared" si="193"/>
        <v>4.2</v>
      </c>
      <c r="L213" s="444">
        <f>V131</f>
        <v>205</v>
      </c>
      <c r="M213" s="444">
        <f t="shared" si="194"/>
        <v>8.2000000000000011</v>
      </c>
      <c r="N213" s="444">
        <f>AA131</f>
        <v>0</v>
      </c>
      <c r="O213" s="444">
        <f t="shared" si="195"/>
        <v>0</v>
      </c>
      <c r="P213" s="444">
        <f>AE131</f>
        <v>75</v>
      </c>
      <c r="Q213" s="464">
        <f t="shared" si="196"/>
        <v>3</v>
      </c>
      <c r="R213" s="465">
        <v>0</v>
      </c>
      <c r="S213" s="466">
        <f t="shared" si="197"/>
        <v>0</v>
      </c>
      <c r="T213" s="465">
        <f>SUM($H213,$J213,$L213,$N213,$P213,$R213)</f>
        <v>435</v>
      </c>
      <c r="U213" s="461"/>
      <c r="V213" s="489"/>
      <c r="W213" s="489"/>
      <c r="X213" s="489"/>
      <c r="Y213" s="492"/>
      <c r="Z213" s="489"/>
      <c r="AA213" s="8"/>
      <c r="AB213" s="117"/>
      <c r="AC213" s="8"/>
      <c r="AD213" s="8"/>
      <c r="AE213" s="8"/>
      <c r="AF213" s="8"/>
      <c r="AG213" s="8"/>
      <c r="AH213" s="8"/>
      <c r="AI213" s="8"/>
      <c r="AJ213" s="8"/>
      <c r="AK213" s="8"/>
      <c r="AL213" s="2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0"/>
      <c r="DM213" s="80"/>
      <c r="DN213" s="8"/>
      <c r="DO213" s="8"/>
      <c r="DP213" s="8"/>
      <c r="DQ213" s="8"/>
    </row>
    <row r="214" spans="1:121" s="15" customFormat="1" ht="18.75" customHeight="1" x14ac:dyDescent="0.25">
      <c r="A214" s="14"/>
      <c r="B214" s="10"/>
      <c r="C214" s="41" t="s">
        <v>216</v>
      </c>
      <c r="D214" s="22">
        <f>E164</f>
        <v>435</v>
      </c>
      <c r="E214" s="22">
        <f t="shared" si="190"/>
        <v>17.399999999999999</v>
      </c>
      <c r="F214" s="22">
        <f>F164</f>
        <v>30</v>
      </c>
      <c r="G214" s="16">
        <f t="shared" si="191"/>
        <v>16.666666666666664</v>
      </c>
      <c r="H214" s="22">
        <f>L164</f>
        <v>55</v>
      </c>
      <c r="I214" s="22">
        <f t="shared" si="192"/>
        <v>2.1999999999999997</v>
      </c>
      <c r="J214" s="22">
        <f>Q164</f>
        <v>80</v>
      </c>
      <c r="K214" s="22">
        <f t="shared" si="193"/>
        <v>3.2</v>
      </c>
      <c r="L214" s="444">
        <f>V164</f>
        <v>200</v>
      </c>
      <c r="M214" s="444">
        <f t="shared" si="194"/>
        <v>8</v>
      </c>
      <c r="N214" s="444">
        <f>AA164</f>
        <v>100</v>
      </c>
      <c r="O214" s="444">
        <f t="shared" si="195"/>
        <v>4</v>
      </c>
      <c r="P214" s="444">
        <f>AE164</f>
        <v>0</v>
      </c>
      <c r="Q214" s="464">
        <f t="shared" si="196"/>
        <v>0</v>
      </c>
      <c r="R214" s="466">
        <v>0</v>
      </c>
      <c r="S214" s="466">
        <f t="shared" si="197"/>
        <v>0</v>
      </c>
      <c r="T214" s="465">
        <f>SUM($H214,$J214,$L214,$N214,$P214,$R214)</f>
        <v>435</v>
      </c>
      <c r="U214" s="461"/>
      <c r="V214" s="489"/>
      <c r="W214" s="489"/>
      <c r="X214" s="489"/>
      <c r="Y214" s="489"/>
      <c r="Z214" s="489"/>
      <c r="AA214" s="8"/>
      <c r="AB214" s="117"/>
      <c r="AC214" s="8"/>
      <c r="AD214" s="8"/>
      <c r="AE214" s="18" t="s">
        <v>217</v>
      </c>
      <c r="AF214" s="12"/>
      <c r="AG214" s="12"/>
      <c r="AH214" s="12"/>
      <c r="AI214" s="8"/>
      <c r="AJ214" s="8"/>
      <c r="AK214" s="8"/>
      <c r="AL214" s="2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0"/>
      <c r="DM214" s="80"/>
      <c r="DN214" s="8"/>
      <c r="DO214" s="8"/>
      <c r="DP214" s="8"/>
      <c r="DQ214" s="8"/>
    </row>
    <row r="215" spans="1:121" ht="27" customHeight="1" x14ac:dyDescent="0.25">
      <c r="A215" s="14"/>
      <c r="C215" s="28" t="s">
        <v>218</v>
      </c>
      <c r="D215" s="22">
        <f>E200</f>
        <v>360</v>
      </c>
      <c r="E215" s="22">
        <f t="shared" si="190"/>
        <v>14.399999999999999</v>
      </c>
      <c r="F215" s="22">
        <f>F200</f>
        <v>30</v>
      </c>
      <c r="G215" s="16">
        <f t="shared" si="191"/>
        <v>16.666666666666664</v>
      </c>
      <c r="H215" s="22">
        <f>L200</f>
        <v>45</v>
      </c>
      <c r="I215" s="22">
        <f t="shared" si="192"/>
        <v>1.7999999999999998</v>
      </c>
      <c r="J215" s="22">
        <f>Q200</f>
        <v>50</v>
      </c>
      <c r="K215" s="22">
        <f t="shared" si="193"/>
        <v>2</v>
      </c>
      <c r="L215" s="444">
        <f>V200</f>
        <v>165</v>
      </c>
      <c r="M215" s="444">
        <f t="shared" si="194"/>
        <v>6.6000000000000005</v>
      </c>
      <c r="N215" s="444">
        <f>AA200</f>
        <v>100</v>
      </c>
      <c r="O215" s="444">
        <f t="shared" si="195"/>
        <v>4</v>
      </c>
      <c r="P215" s="444">
        <f>AE200</f>
        <v>0</v>
      </c>
      <c r="Q215" s="464">
        <f t="shared" si="196"/>
        <v>0</v>
      </c>
      <c r="R215" s="465">
        <f>E198</f>
        <v>3</v>
      </c>
      <c r="S215" s="467">
        <f t="shared" si="197"/>
        <v>0.12</v>
      </c>
      <c r="T215" s="465">
        <f>SUM($H215,$J215,$L215,$N215,$P215)</f>
        <v>360</v>
      </c>
      <c r="U215" s="461" t="s">
        <v>219</v>
      </c>
      <c r="V215" s="493"/>
      <c r="W215" s="493"/>
      <c r="X215" s="494"/>
      <c r="Y215" s="489"/>
      <c r="Z215" s="489"/>
      <c r="AA215" s="56"/>
      <c r="AB215" s="137" t="s">
        <v>220</v>
      </c>
      <c r="AC215" s="8"/>
      <c r="AD215" s="8"/>
      <c r="AE215" s="61"/>
      <c r="AF215" s="61" t="s">
        <v>221</v>
      </c>
      <c r="AG215" s="61"/>
      <c r="AH215" s="30"/>
      <c r="DL215" s="80"/>
      <c r="DN215" s="8"/>
    </row>
    <row r="216" spans="1:121" ht="27" customHeight="1" x14ac:dyDescent="0.25">
      <c r="C216" s="23" t="s">
        <v>222</v>
      </c>
      <c r="D216" s="45">
        <f>SUM(D210:D215)</f>
        <v>2500</v>
      </c>
      <c r="E216" s="21">
        <f t="shared" si="190"/>
        <v>100</v>
      </c>
      <c r="F216" s="21">
        <f>SUM(F210:F215)</f>
        <v>180</v>
      </c>
      <c r="G216" s="20">
        <f>(F216/$F$216)*100</f>
        <v>100</v>
      </c>
      <c r="H216" s="21">
        <f>SUM(H210:H215)</f>
        <v>380</v>
      </c>
      <c r="I216" s="45">
        <f t="shared" si="192"/>
        <v>15.2</v>
      </c>
      <c r="J216" s="21">
        <f>SUM(J210:J215)</f>
        <v>650</v>
      </c>
      <c r="K216" s="45">
        <f t="shared" si="193"/>
        <v>26</v>
      </c>
      <c r="L216" s="444">
        <f>SUM(L210:L215)</f>
        <v>1120</v>
      </c>
      <c r="M216" s="444">
        <f t="shared" si="194"/>
        <v>44.800000000000004</v>
      </c>
      <c r="N216" s="444">
        <f>SUM(N210:N215)</f>
        <v>200</v>
      </c>
      <c r="O216" s="444">
        <f t="shared" si="195"/>
        <v>8</v>
      </c>
      <c r="P216" s="444">
        <f>SUM(P210:P215)</f>
        <v>150</v>
      </c>
      <c r="Q216" s="464">
        <f>(P216/$D$216)*100</f>
        <v>6</v>
      </c>
      <c r="R216" s="465">
        <f>SUM(R210:R215)</f>
        <v>3</v>
      </c>
      <c r="S216" s="465">
        <f>SUM(I216,K216,M216,O216,Q216)</f>
        <v>100</v>
      </c>
      <c r="T216" s="465">
        <f>SUM($H216,$J216,$L216,$N216,$P216)</f>
        <v>2500</v>
      </c>
      <c r="U216" s="468" t="s">
        <v>223</v>
      </c>
      <c r="V216" s="494"/>
      <c r="W216" s="494">
        <f>K216+M216</f>
        <v>70.800000000000011</v>
      </c>
      <c r="X216" s="494" t="s">
        <v>47</v>
      </c>
      <c r="Y216" s="489"/>
      <c r="Z216" s="489"/>
      <c r="AA216" s="56"/>
      <c r="AB216" s="117"/>
      <c r="AC216" s="8"/>
      <c r="AE216" s="119" t="s">
        <v>224</v>
      </c>
      <c r="AF216" s="30">
        <f>$F216*25</f>
        <v>4500</v>
      </c>
      <c r="AG216" s="119" t="s">
        <v>225</v>
      </c>
      <c r="AH216" s="30">
        <f>AF216/2</f>
        <v>2250</v>
      </c>
      <c r="DL216" s="80"/>
      <c r="DN216" s="8"/>
    </row>
    <row r="217" spans="1:121" ht="27" customHeight="1" x14ac:dyDescent="0.25">
      <c r="C217" s="28" t="s">
        <v>226</v>
      </c>
      <c r="D217" s="22">
        <f>SUM(D210:D211)</f>
        <v>850</v>
      </c>
      <c r="E217" s="22">
        <f t="shared" si="190"/>
        <v>34</v>
      </c>
      <c r="F217" s="22">
        <f>SUM(F210:F211)</f>
        <v>60</v>
      </c>
      <c r="G217" s="16">
        <f>(F217/$F$216)*100</f>
        <v>33.333333333333329</v>
      </c>
      <c r="H217" s="22">
        <f>SUM(H210:H211)</f>
        <v>145</v>
      </c>
      <c r="I217" s="22">
        <f t="shared" si="192"/>
        <v>5.8000000000000007</v>
      </c>
      <c r="J217" s="22">
        <f>SUM(J210:J211)</f>
        <v>255</v>
      </c>
      <c r="K217" s="22">
        <f t="shared" si="193"/>
        <v>10.199999999999999</v>
      </c>
      <c r="L217" s="444">
        <f>SUM(L210:L211)</f>
        <v>375</v>
      </c>
      <c r="M217" s="444">
        <f t="shared" si="194"/>
        <v>15</v>
      </c>
      <c r="N217" s="444">
        <f>SUM(N210:N211)</f>
        <v>0</v>
      </c>
      <c r="O217" s="444">
        <f t="shared" si="195"/>
        <v>0</v>
      </c>
      <c r="P217" s="444">
        <f>SUM(P210:P211)</f>
        <v>75</v>
      </c>
      <c r="Q217" s="464">
        <f t="shared" si="196"/>
        <v>3</v>
      </c>
      <c r="R217" s="464">
        <f>SUM(R210:R211)</f>
        <v>0</v>
      </c>
      <c r="S217" s="464">
        <f t="shared" si="196"/>
        <v>0</v>
      </c>
      <c r="T217" s="465">
        <f t="shared" ref="T217:T218" si="198">SUM($H217,$J217,$L217,$N217,$P217,$R217)</f>
        <v>850</v>
      </c>
      <c r="W217" s="495"/>
      <c r="X217" s="489"/>
      <c r="Y217" s="489"/>
      <c r="Z217" s="489"/>
      <c r="AA217" s="54"/>
      <c r="AB217" s="117"/>
      <c r="AC217" s="8"/>
      <c r="AD217" s="8"/>
      <c r="AE217" s="8"/>
      <c r="AF217" s="8"/>
      <c r="AG217" s="8"/>
      <c r="AH217" s="8"/>
      <c r="DL217" s="80"/>
      <c r="DN217" s="8"/>
    </row>
    <row r="218" spans="1:121" ht="27" customHeight="1" x14ac:dyDescent="0.25">
      <c r="C218" s="28" t="s">
        <v>227</v>
      </c>
      <c r="D218" s="22">
        <f>SUM(D212:D213)</f>
        <v>855</v>
      </c>
      <c r="E218" s="22">
        <f t="shared" si="190"/>
        <v>34.200000000000003</v>
      </c>
      <c r="F218" s="22">
        <f>SUM(F212:F213)</f>
        <v>60</v>
      </c>
      <c r="G218" s="16">
        <f>(F218/$F$216)*100</f>
        <v>33.333333333333329</v>
      </c>
      <c r="H218" s="22">
        <f>SUM(H212:H213)</f>
        <v>135</v>
      </c>
      <c r="I218" s="22">
        <f t="shared" si="192"/>
        <v>5.4</v>
      </c>
      <c r="J218" s="22">
        <f>SUM(J212:J213)</f>
        <v>265</v>
      </c>
      <c r="K218" s="22">
        <f t="shared" si="193"/>
        <v>10.6</v>
      </c>
      <c r="L218" s="444">
        <f>SUM(L212:L213)</f>
        <v>380</v>
      </c>
      <c r="M218" s="444">
        <f t="shared" si="194"/>
        <v>15.2</v>
      </c>
      <c r="N218" s="444">
        <f>SUM(N212:N213)</f>
        <v>0</v>
      </c>
      <c r="O218" s="444">
        <f t="shared" si="195"/>
        <v>0</v>
      </c>
      <c r="P218" s="444">
        <f>SUM(P212:P213)</f>
        <v>75</v>
      </c>
      <c r="Q218" s="464">
        <f t="shared" si="196"/>
        <v>3</v>
      </c>
      <c r="R218" s="464">
        <f>SUM(R212:R213)</f>
        <v>0</v>
      </c>
      <c r="S218" s="464">
        <f t="shared" si="196"/>
        <v>0</v>
      </c>
      <c r="T218" s="465">
        <f t="shared" si="198"/>
        <v>855</v>
      </c>
      <c r="V218" s="496"/>
      <c r="W218" s="489"/>
      <c r="X218" s="494"/>
      <c r="AB218" s="137" t="s">
        <v>228</v>
      </c>
      <c r="AC218" s="8"/>
      <c r="AD218" s="8"/>
      <c r="AF218" s="10" t="s">
        <v>229</v>
      </c>
      <c r="AG218" s="64"/>
      <c r="AH218" s="8"/>
      <c r="AI218" s="12" t="s">
        <v>230</v>
      </c>
      <c r="AJ218" s="10"/>
      <c r="DL218" s="80"/>
      <c r="DN218" s="8"/>
    </row>
    <row r="219" spans="1:121" ht="24.75" customHeight="1" x14ac:dyDescent="0.25">
      <c r="C219" s="28" t="s">
        <v>231</v>
      </c>
      <c r="D219" s="22">
        <f>SUM(D214:D215)</f>
        <v>795</v>
      </c>
      <c r="E219" s="22">
        <f t="shared" si="190"/>
        <v>31.8</v>
      </c>
      <c r="F219" s="22">
        <f>SUM(F214:F215)</f>
        <v>60</v>
      </c>
      <c r="G219" s="16">
        <f>(F219/$F$216)*100</f>
        <v>33.333333333333329</v>
      </c>
      <c r="H219" s="22">
        <f>SUM(H214:H215)</f>
        <v>100</v>
      </c>
      <c r="I219" s="22">
        <f t="shared" si="192"/>
        <v>4</v>
      </c>
      <c r="J219" s="22">
        <f>SUM(J214:J215)</f>
        <v>130</v>
      </c>
      <c r="K219" s="22">
        <f t="shared" si="193"/>
        <v>5.2</v>
      </c>
      <c r="L219" s="444">
        <f>SUM(L214:L215)</f>
        <v>365</v>
      </c>
      <c r="M219" s="444">
        <f t="shared" si="194"/>
        <v>14.6</v>
      </c>
      <c r="N219" s="444">
        <f>SUM(N214:N215)</f>
        <v>200</v>
      </c>
      <c r="O219" s="444">
        <f t="shared" si="195"/>
        <v>8</v>
      </c>
      <c r="P219" s="444">
        <f>SUM(P214:P215)</f>
        <v>0</v>
      </c>
      <c r="Q219" s="464">
        <f t="shared" si="196"/>
        <v>0</v>
      </c>
      <c r="R219" s="464">
        <f>SUM(R214:R215)</f>
        <v>3</v>
      </c>
      <c r="S219" s="464">
        <f t="shared" si="196"/>
        <v>0.12</v>
      </c>
      <c r="T219" s="465">
        <f>SUM($H219,$J219,$L219,$N219,$P219)</f>
        <v>795</v>
      </c>
      <c r="U219" s="469">
        <f>SUM(D217:D219)</f>
        <v>2500</v>
      </c>
      <c r="V219" s="497"/>
      <c r="W219" s="489"/>
      <c r="X219" s="489"/>
      <c r="Y219" s="489"/>
      <c r="Z219" s="489"/>
      <c r="AA219" s="138"/>
      <c r="AB219" s="117"/>
      <c r="AC219" s="8"/>
      <c r="AD219" s="8"/>
      <c r="AE219" s="10" t="s">
        <v>224</v>
      </c>
      <c r="AF219" s="69">
        <f>((25*176)+(30*4))</f>
        <v>4520</v>
      </c>
      <c r="AG219" s="8" t="s">
        <v>225</v>
      </c>
      <c r="AH219" s="30">
        <f>AF219/2</f>
        <v>2260</v>
      </c>
      <c r="AI219" s="10"/>
      <c r="DL219" s="80"/>
      <c r="DN219" s="8"/>
    </row>
    <row r="220" spans="1:121" ht="24.75" customHeight="1" x14ac:dyDescent="0.25">
      <c r="C220" s="23" t="s">
        <v>232</v>
      </c>
      <c r="D220" s="21">
        <f>SUM(E11,E45,E76,E105,E140)</f>
        <v>450</v>
      </c>
      <c r="E220" s="97">
        <f t="shared" si="190"/>
        <v>18</v>
      </c>
      <c r="F220" s="21">
        <f>SUM(F11,F45,F76,F105,F140)</f>
        <v>35</v>
      </c>
      <c r="G220" s="20">
        <f t="shared" ref="G220:G230" si="199">(F220/$F$216)*100</f>
        <v>19.444444444444446</v>
      </c>
      <c r="H220" s="43"/>
      <c r="I220" s="21"/>
      <c r="J220" s="43"/>
      <c r="K220" s="21"/>
      <c r="L220" s="444"/>
      <c r="M220" s="444"/>
      <c r="N220" s="444"/>
      <c r="O220" s="444"/>
      <c r="P220" s="444"/>
      <c r="Q220" s="464"/>
      <c r="R220" s="465"/>
      <c r="S220" s="465"/>
      <c r="T220" s="465"/>
      <c r="V220" s="497"/>
      <c r="W220" s="489"/>
      <c r="X220" s="494"/>
      <c r="Y220" s="489"/>
      <c r="Z220" s="489"/>
      <c r="AA220" s="56"/>
      <c r="AB220" s="117"/>
      <c r="AC220" s="8"/>
      <c r="AD220" s="8"/>
      <c r="AE220" s="10" t="s">
        <v>233</v>
      </c>
      <c r="AF220" s="79">
        <v>62</v>
      </c>
      <c r="AG220" s="8" t="s">
        <v>234</v>
      </c>
      <c r="AH220" s="8"/>
      <c r="DL220" s="80"/>
      <c r="DN220" s="8"/>
    </row>
    <row r="221" spans="1:121" ht="24.75" customHeight="1" x14ac:dyDescent="0.25">
      <c r="C221" s="23" t="s">
        <v>235</v>
      </c>
      <c r="D221" s="21">
        <f>SUM(E16,E49,E79,E109,E144,E173,E196:E198)</f>
        <v>553</v>
      </c>
      <c r="E221" s="97">
        <f t="shared" si="190"/>
        <v>22.12</v>
      </c>
      <c r="F221" s="21">
        <f>SUM(F16,F49,F79,F109,F144,F173,F196:F198)</f>
        <v>50</v>
      </c>
      <c r="G221" s="20">
        <f t="shared" si="199"/>
        <v>27.777777777777779</v>
      </c>
      <c r="H221" s="43"/>
      <c r="I221" s="21"/>
      <c r="J221" s="43"/>
      <c r="K221" s="21"/>
      <c r="L221" s="444"/>
      <c r="M221" s="444"/>
      <c r="N221" s="444"/>
      <c r="O221" s="444"/>
      <c r="P221" s="444"/>
      <c r="Q221" s="464"/>
      <c r="R221" s="465"/>
      <c r="S221" s="465"/>
      <c r="T221" s="465"/>
      <c r="U221" s="456" t="s">
        <v>236</v>
      </c>
      <c r="W221" s="489"/>
      <c r="X221" s="489"/>
      <c r="Y221" s="492"/>
      <c r="Z221" s="489"/>
      <c r="AA221" s="8"/>
      <c r="AB221" s="117"/>
      <c r="AC221" s="8"/>
      <c r="AD221" s="8"/>
      <c r="AE221" s="10" t="s">
        <v>224</v>
      </c>
      <c r="AF221" s="79">
        <f>AF219+AF220</f>
        <v>4582</v>
      </c>
      <c r="AG221" s="8" t="s">
        <v>225</v>
      </c>
      <c r="AH221" s="30">
        <f>AF221/2</f>
        <v>2291</v>
      </c>
      <c r="DL221" s="80"/>
      <c r="DN221" s="8"/>
    </row>
    <row r="222" spans="1:121" ht="29.25" customHeight="1" x14ac:dyDescent="0.25">
      <c r="C222" s="23" t="s">
        <v>237</v>
      </c>
      <c r="D222" s="21">
        <f>(SUM(E24,E53,E87,E116,E149,E182))-(D224)</f>
        <v>562</v>
      </c>
      <c r="E222" s="97">
        <f t="shared" si="190"/>
        <v>22.48</v>
      </c>
      <c r="F222" s="21">
        <f>(SUM(F24,F53,F87,F116,F149,F182))-(F224)</f>
        <v>36</v>
      </c>
      <c r="G222" s="20">
        <f t="shared" si="199"/>
        <v>20</v>
      </c>
      <c r="H222" s="43"/>
      <c r="I222" s="21"/>
      <c r="J222" s="43"/>
      <c r="K222" s="21"/>
      <c r="L222" s="444"/>
      <c r="M222" s="444"/>
      <c r="N222" s="444"/>
      <c r="O222" s="444"/>
      <c r="P222" s="444"/>
      <c r="Q222" s="464"/>
      <c r="R222" s="465"/>
      <c r="S222" s="465"/>
      <c r="T222" s="465"/>
      <c r="U222" s="461"/>
      <c r="V222" s="489"/>
      <c r="W222" s="489"/>
      <c r="X222" s="489"/>
      <c r="Y222" s="492"/>
      <c r="Z222" s="489"/>
      <c r="AA222" s="8"/>
      <c r="AB222" s="117"/>
      <c r="AC222" s="8"/>
      <c r="AD222" s="8"/>
      <c r="AE222" s="8"/>
      <c r="AF222" s="8"/>
      <c r="AG222" s="8"/>
      <c r="AH222" s="8"/>
      <c r="DL222" s="80"/>
      <c r="DN222" s="8"/>
    </row>
    <row r="223" spans="1:121" ht="42.6" customHeight="1" x14ac:dyDescent="0.25">
      <c r="C223" s="29" t="s">
        <v>238</v>
      </c>
      <c r="D223" s="62">
        <f>SUM(E30,E120,E151:E152,E186)</f>
        <v>90</v>
      </c>
      <c r="E223" s="62">
        <f t="shared" ref="E223" si="200">(D223/$D$216)*100</f>
        <v>3.5999999999999996</v>
      </c>
      <c r="F223" s="62">
        <f>SUM(F30,F120,F151:F152,F186)</f>
        <v>6</v>
      </c>
      <c r="G223" s="24">
        <f t="shared" ref="G223" si="201">(F223/$F$216)*100</f>
        <v>3.3333333333333335</v>
      </c>
      <c r="H223" s="96"/>
      <c r="I223" s="62"/>
      <c r="J223" s="96"/>
      <c r="K223" s="62"/>
      <c r="L223" s="444"/>
      <c r="M223" s="444"/>
      <c r="N223" s="444"/>
      <c r="O223" s="444"/>
      <c r="P223" s="444"/>
      <c r="Q223" s="464"/>
      <c r="R223" s="465"/>
      <c r="S223" s="465"/>
      <c r="T223" s="465"/>
      <c r="U223" s="461"/>
      <c r="V223" s="489"/>
      <c r="W223" s="489"/>
      <c r="X223" s="489"/>
      <c r="Y223" s="492"/>
      <c r="Z223" s="489"/>
      <c r="AA223" s="8"/>
      <c r="AB223" s="117"/>
      <c r="AC223" s="8"/>
      <c r="AD223" s="8"/>
      <c r="AE223" s="8"/>
      <c r="AF223" s="8"/>
      <c r="AG223" s="8"/>
      <c r="AH223" s="8"/>
    </row>
    <row r="224" spans="1:121" ht="29.25" customHeight="1" x14ac:dyDescent="0.25">
      <c r="C224" s="29" t="s">
        <v>239</v>
      </c>
      <c r="D224" s="62">
        <f>SUM(E18:E19,E52,E85,E147)</f>
        <v>155</v>
      </c>
      <c r="E224" s="62">
        <f t="shared" ref="E224" si="202">(D224/$D$216)*100</f>
        <v>6.2</v>
      </c>
      <c r="F224" s="62">
        <f>SUM(F18:F19,F52,F85,F147)</f>
        <v>6</v>
      </c>
      <c r="G224" s="24">
        <f>(F224/$F$216)*100</f>
        <v>3.3333333333333335</v>
      </c>
      <c r="H224" s="96"/>
      <c r="I224" s="62"/>
      <c r="J224" s="96"/>
      <c r="K224" s="62"/>
      <c r="L224" s="444"/>
      <c r="M224" s="444"/>
      <c r="N224" s="444"/>
      <c r="O224" s="444"/>
      <c r="P224" s="444"/>
      <c r="Q224" s="464"/>
      <c r="R224" s="465"/>
      <c r="S224" s="465"/>
      <c r="T224" s="465"/>
      <c r="U224" s="461"/>
      <c r="V224" s="489"/>
      <c r="W224" s="489"/>
      <c r="X224" s="489"/>
      <c r="Y224" s="492"/>
      <c r="Z224" s="489"/>
      <c r="AA224" s="8"/>
      <c r="AB224" s="117"/>
      <c r="AC224" s="8"/>
      <c r="AD224" s="8"/>
      <c r="AE224" s="8"/>
      <c r="AF224" s="8"/>
      <c r="AG224" s="8"/>
      <c r="AH224" s="8"/>
    </row>
    <row r="225" spans="1:118" ht="29.25" customHeight="1" x14ac:dyDescent="0.25">
      <c r="C225" s="29" t="s">
        <v>240</v>
      </c>
      <c r="D225" s="62">
        <f>SUM(E32,E56,E90,E122:E123,E154,E188)</f>
        <v>340</v>
      </c>
      <c r="E225" s="62">
        <f>(D225/$D$216)*100</f>
        <v>13.600000000000001</v>
      </c>
      <c r="F225" s="62">
        <f>SUM(F32,F56,F90,F122:F123,F154,F188)</f>
        <v>30</v>
      </c>
      <c r="G225" s="24">
        <f t="shared" si="199"/>
        <v>16.666666666666664</v>
      </c>
      <c r="H225" s="96"/>
      <c r="I225" s="62"/>
      <c r="J225" s="96"/>
      <c r="K225" s="62"/>
      <c r="L225" s="444"/>
      <c r="M225" s="444"/>
      <c r="N225" s="444"/>
      <c r="O225" s="444"/>
      <c r="P225" s="444"/>
      <c r="Q225" s="464"/>
      <c r="R225" s="465"/>
      <c r="S225" s="465"/>
      <c r="T225" s="465"/>
      <c r="U225" s="461"/>
      <c r="V225" s="489"/>
      <c r="W225" s="489"/>
      <c r="X225" s="489"/>
      <c r="Y225" s="492"/>
      <c r="Z225" s="489"/>
      <c r="AA225" s="8"/>
      <c r="AB225" s="117"/>
      <c r="AC225" s="8"/>
      <c r="AD225" s="8"/>
      <c r="AE225" s="8"/>
      <c r="AF225" s="8"/>
      <c r="AG225" s="8"/>
      <c r="AH225" s="8"/>
    </row>
    <row r="226" spans="1:118" ht="29.25" customHeight="1" x14ac:dyDescent="0.25">
      <c r="A226" s="9"/>
      <c r="B226" s="9"/>
      <c r="C226" s="29" t="s">
        <v>241</v>
      </c>
      <c r="D226" s="62">
        <f>SUM(E161,E194)</f>
        <v>200</v>
      </c>
      <c r="E226" s="62">
        <f t="shared" si="190"/>
        <v>8</v>
      </c>
      <c r="F226" s="62">
        <f>SUM(F161,F194)</f>
        <v>11</v>
      </c>
      <c r="G226" s="24">
        <f t="shared" si="199"/>
        <v>6.1111111111111107</v>
      </c>
      <c r="H226" s="96"/>
      <c r="I226" s="62"/>
      <c r="J226" s="96"/>
      <c r="K226" s="62"/>
      <c r="L226" s="444"/>
      <c r="M226" s="444"/>
      <c r="N226" s="444"/>
      <c r="O226" s="444"/>
      <c r="P226" s="444"/>
      <c r="Q226" s="464"/>
      <c r="R226" s="465"/>
      <c r="S226" s="465"/>
      <c r="T226" s="465"/>
      <c r="U226" s="456" t="s">
        <v>8</v>
      </c>
      <c r="V226" s="485" t="s">
        <v>47</v>
      </c>
      <c r="W226" s="498"/>
      <c r="X226" s="489"/>
      <c r="Y226" s="489"/>
      <c r="Z226" s="489"/>
      <c r="AA226" s="8"/>
      <c r="AB226" s="57"/>
      <c r="AC226" s="8"/>
      <c r="AE226" s="8"/>
      <c r="AF226" s="8"/>
      <c r="AG226" s="8"/>
      <c r="AH226" s="8"/>
    </row>
    <row r="227" spans="1:118" ht="29.25" customHeight="1" x14ac:dyDescent="0.25">
      <c r="A227" s="9"/>
      <c r="B227" s="9"/>
      <c r="C227" s="29" t="s">
        <v>242</v>
      </c>
      <c r="D227" s="62">
        <f>SUM(E64,E129)</f>
        <v>150</v>
      </c>
      <c r="E227" s="62">
        <f t="shared" si="190"/>
        <v>6</v>
      </c>
      <c r="F227" s="62">
        <f>SUM(F64,F129)</f>
        <v>6</v>
      </c>
      <c r="G227" s="24">
        <f t="shared" si="199"/>
        <v>3.3333333333333335</v>
      </c>
      <c r="H227" s="96"/>
      <c r="I227" s="62"/>
      <c r="J227" s="96"/>
      <c r="K227" s="62"/>
      <c r="L227" s="444"/>
      <c r="M227" s="444"/>
      <c r="N227" s="444"/>
      <c r="O227" s="444"/>
      <c r="P227" s="444"/>
      <c r="Q227" s="464"/>
      <c r="R227" s="465"/>
      <c r="S227" s="465"/>
      <c r="T227" s="465"/>
      <c r="U227" s="468">
        <f>SUM($F224:$F228)</f>
        <v>60</v>
      </c>
      <c r="V227" s="494">
        <f>SUM($G224:$G228)</f>
        <v>33.333333333333329</v>
      </c>
      <c r="W227" s="498"/>
      <c r="X227" s="489"/>
      <c r="Y227" s="489"/>
      <c r="Z227" s="489"/>
      <c r="AA227" s="8"/>
      <c r="AB227" s="54"/>
      <c r="AC227" s="8"/>
      <c r="AD227" s="30"/>
      <c r="AE227" s="8"/>
      <c r="AF227" s="8"/>
      <c r="AG227" s="8"/>
      <c r="AH227" s="8"/>
    </row>
    <row r="228" spans="1:118" ht="29.25" customHeight="1" x14ac:dyDescent="0.25">
      <c r="A228" s="9"/>
      <c r="B228" s="9"/>
      <c r="C228" s="99" t="s">
        <v>243</v>
      </c>
      <c r="D228" s="97">
        <f>SUM(E196)</f>
        <v>50</v>
      </c>
      <c r="E228" s="97">
        <f t="shared" ref="E228:E233" si="203">(D228/$D$216)*100</f>
        <v>2</v>
      </c>
      <c r="F228" s="97">
        <f>SUM(F196)</f>
        <v>7</v>
      </c>
      <c r="G228" s="100">
        <f t="shared" si="199"/>
        <v>3.8888888888888888</v>
      </c>
      <c r="H228" s="101"/>
      <c r="I228" s="97"/>
      <c r="J228" s="101"/>
      <c r="K228" s="97"/>
      <c r="L228" s="444"/>
      <c r="M228" s="444"/>
      <c r="N228" s="444"/>
      <c r="O228" s="444"/>
      <c r="P228" s="444"/>
      <c r="Q228" s="464"/>
      <c r="R228" s="465"/>
      <c r="S228" s="465"/>
      <c r="T228" s="465"/>
      <c r="U228" s="468"/>
      <c r="V228" s="494"/>
      <c r="W228" s="498"/>
      <c r="X228" s="489"/>
      <c r="Y228" s="489"/>
      <c r="Z228" s="489"/>
      <c r="AA228" s="8"/>
      <c r="AB228" s="54"/>
      <c r="AC228" s="8"/>
      <c r="AD228" s="30"/>
      <c r="AE228" s="8"/>
      <c r="AF228" s="8"/>
      <c r="AG228" s="8"/>
      <c r="AH228" s="8"/>
    </row>
    <row r="229" spans="1:118" ht="15" customHeight="1" x14ac:dyDescent="0.25">
      <c r="A229" s="9"/>
      <c r="B229" s="9"/>
      <c r="C229" s="99" t="s">
        <v>244</v>
      </c>
      <c r="D229" s="97">
        <f>E197</f>
        <v>5</v>
      </c>
      <c r="E229" s="101">
        <f t="shared" si="203"/>
        <v>0.2</v>
      </c>
      <c r="F229" s="97">
        <f>SUM(F197)</f>
        <v>0</v>
      </c>
      <c r="G229" s="100">
        <f t="shared" ref="G229" si="204">(F229/$F$216)*100</f>
        <v>0</v>
      </c>
      <c r="H229" s="101"/>
      <c r="I229" s="97"/>
      <c r="J229" s="101"/>
      <c r="K229" s="97"/>
      <c r="L229" s="444"/>
      <c r="M229" s="444"/>
      <c r="N229" s="444"/>
      <c r="O229" s="444"/>
      <c r="P229" s="444"/>
      <c r="Q229" s="464"/>
      <c r="R229" s="465"/>
      <c r="S229" s="465"/>
      <c r="T229" s="465"/>
      <c r="U229" s="468"/>
      <c r="V229" s="494"/>
      <c r="W229" s="498"/>
      <c r="X229" s="489"/>
      <c r="Y229" s="489"/>
      <c r="Z229" s="489"/>
      <c r="AA229" s="8"/>
      <c r="AB229" s="54"/>
      <c r="AC229" s="8"/>
      <c r="AD229" s="30"/>
      <c r="AE229" s="8"/>
      <c r="AF229" s="8"/>
      <c r="AG229" s="8"/>
      <c r="AH229" s="8"/>
    </row>
    <row r="230" spans="1:118" ht="18.75" customHeight="1" x14ac:dyDescent="0.25">
      <c r="A230" s="9"/>
      <c r="B230" s="9"/>
      <c r="C230" s="99" t="s">
        <v>188</v>
      </c>
      <c r="D230" s="97">
        <f>E198</f>
        <v>3</v>
      </c>
      <c r="E230" s="101">
        <f t="shared" si="203"/>
        <v>0.12</v>
      </c>
      <c r="F230" s="97">
        <f>F198</f>
        <v>3</v>
      </c>
      <c r="G230" s="100">
        <f t="shared" si="199"/>
        <v>1.6666666666666667</v>
      </c>
      <c r="H230" s="101"/>
      <c r="I230" s="97"/>
      <c r="J230" s="101"/>
      <c r="K230" s="97"/>
      <c r="L230" s="444"/>
      <c r="M230" s="444"/>
      <c r="N230" s="444"/>
      <c r="O230" s="444"/>
      <c r="P230" s="444"/>
      <c r="Q230" s="464"/>
      <c r="R230" s="470"/>
      <c r="S230" s="470"/>
      <c r="T230" s="470"/>
      <c r="U230" s="468"/>
      <c r="V230" s="494"/>
      <c r="W230" s="498"/>
      <c r="X230" s="489"/>
      <c r="Y230" s="489"/>
      <c r="Z230" s="489"/>
      <c r="AA230" s="8"/>
      <c r="AB230" s="54"/>
      <c r="AC230" s="8"/>
      <c r="AD230" s="30"/>
      <c r="AE230" s="8"/>
      <c r="AF230" s="8"/>
      <c r="AG230" s="8"/>
      <c r="AH230" s="8"/>
    </row>
    <row r="231" spans="1:118" ht="18.75" customHeight="1" x14ac:dyDescent="0.25">
      <c r="A231" s="9"/>
      <c r="B231" s="9"/>
      <c r="C231" s="46" t="s">
        <v>245</v>
      </c>
      <c r="D231" s="47">
        <f>SUM(D220:D227)</f>
        <v>2500</v>
      </c>
      <c r="E231" s="98">
        <f>(D231/$D$216)*100</f>
        <v>100</v>
      </c>
      <c r="F231" s="47">
        <f>SUM(F220:F227)</f>
        <v>180</v>
      </c>
      <c r="G231" s="48">
        <f>SUM(G220:G230)</f>
        <v>105.55555555555554</v>
      </c>
      <c r="H231" s="49"/>
      <c r="I231" s="47"/>
      <c r="J231" s="49"/>
      <c r="K231" s="47"/>
      <c r="L231" s="445"/>
      <c r="M231" s="445"/>
      <c r="N231" s="445"/>
      <c r="O231" s="445"/>
      <c r="P231" s="445"/>
      <c r="Q231" s="471"/>
      <c r="R231" s="470"/>
      <c r="S231" s="470"/>
      <c r="T231" s="470"/>
      <c r="U231" s="456" t="s">
        <v>246</v>
      </c>
      <c r="X231" s="489"/>
      <c r="Y231" s="489"/>
      <c r="Z231" s="489"/>
      <c r="AA231" s="8"/>
      <c r="AB231" s="56"/>
      <c r="AC231" s="8"/>
      <c r="AE231" s="8"/>
      <c r="AF231" s="8"/>
      <c r="AG231" s="8"/>
      <c r="AH231" s="8"/>
    </row>
    <row r="232" spans="1:118" ht="20.25" customHeight="1" x14ac:dyDescent="0.25">
      <c r="A232" s="9"/>
      <c r="B232" s="9"/>
      <c r="C232" s="46" t="s">
        <v>245</v>
      </c>
      <c r="D232" s="47">
        <f>SUM(D220:D223,D236)-SUM(D228)</f>
        <v>2500</v>
      </c>
      <c r="E232" s="98">
        <f t="shared" si="203"/>
        <v>100</v>
      </c>
      <c r="F232" s="47">
        <f>SUM(F220:F223,F236)-SUM(F228)</f>
        <v>180</v>
      </c>
      <c r="G232" s="48">
        <f>SUM(G220:G222,G229:G230,G236)</f>
        <v>102.22222222222223</v>
      </c>
      <c r="H232" s="49"/>
      <c r="I232" s="47"/>
      <c r="J232" s="49"/>
      <c r="K232" s="47"/>
      <c r="L232" s="445"/>
      <c r="M232" s="445"/>
      <c r="N232" s="445"/>
      <c r="O232" s="445"/>
      <c r="P232" s="445"/>
      <c r="Q232" s="471"/>
      <c r="R232" s="465"/>
      <c r="S232" s="465"/>
      <c r="T232" s="465"/>
      <c r="U232" s="456" t="s">
        <v>246</v>
      </c>
      <c r="X232" s="489"/>
      <c r="Y232" s="489"/>
      <c r="Z232" s="489"/>
      <c r="AA232" s="8"/>
      <c r="AB232" s="56"/>
      <c r="AC232" s="8"/>
      <c r="AE232" s="8"/>
      <c r="AF232" s="8"/>
      <c r="AG232" s="8"/>
      <c r="AH232" s="8"/>
    </row>
    <row r="233" spans="1:118" ht="28.9" customHeight="1" x14ac:dyDescent="0.25">
      <c r="C233" s="25" t="s">
        <v>247</v>
      </c>
      <c r="D233" s="26">
        <f>SUM(G34,G66,G96,G131,G164,G200)</f>
        <v>2360</v>
      </c>
      <c r="E233" s="22">
        <f t="shared" si="203"/>
        <v>94.399999999999991</v>
      </c>
      <c r="F233" s="26">
        <f>SUM(H34,H66,H96,H131,H164,H200)</f>
        <v>90.98666666666665</v>
      </c>
      <c r="G233" s="65">
        <f>(F233/$F$216)*100</f>
        <v>50.548148148148144</v>
      </c>
      <c r="H233" s="42"/>
      <c r="I233" s="22"/>
      <c r="J233" s="42"/>
      <c r="K233" s="22"/>
      <c r="L233" s="444"/>
      <c r="M233" s="444"/>
      <c r="N233" s="444"/>
      <c r="O233" s="445"/>
      <c r="P233" s="444"/>
      <c r="Q233" s="471"/>
      <c r="R233" s="465"/>
      <c r="S233" s="465"/>
      <c r="T233" s="465"/>
      <c r="U233" s="469">
        <f>$D$216-140</f>
        <v>2360</v>
      </c>
      <c r="W233" s="485" t="s">
        <v>248</v>
      </c>
      <c r="X233" s="489"/>
      <c r="Y233" s="494"/>
      <c r="Z233" s="489"/>
      <c r="AA233" s="8"/>
      <c r="AB233" s="56"/>
      <c r="AC233" s="8"/>
      <c r="AD233" s="119"/>
      <c r="AE233" s="8"/>
      <c r="AF233" s="8"/>
      <c r="AG233" s="8"/>
      <c r="AH233" s="8"/>
    </row>
    <row r="234" spans="1:118" ht="33" customHeight="1" x14ac:dyDescent="0.25">
      <c r="C234" s="27" t="s">
        <v>249</v>
      </c>
      <c r="D234" s="26">
        <f>SUM(I34,I66,I96,I131,I164,I200)</f>
        <v>2222</v>
      </c>
      <c r="E234" s="22">
        <f t="shared" si="190"/>
        <v>88.88000000000001</v>
      </c>
      <c r="F234" s="26">
        <f>SUM(J34,J66,J96,J131,J164,J200)</f>
        <v>88.68</v>
      </c>
      <c r="G234" s="65">
        <f t="shared" ref="G234:G239" si="205">(F234/$F$216)*100</f>
        <v>49.266666666666673</v>
      </c>
      <c r="H234" s="42"/>
      <c r="I234" s="22"/>
      <c r="J234" s="42"/>
      <c r="K234" s="22"/>
      <c r="L234" s="444"/>
      <c r="M234" s="444"/>
      <c r="N234" s="444"/>
      <c r="O234" s="445"/>
      <c r="P234" s="444"/>
      <c r="Q234" s="471"/>
      <c r="R234" s="465"/>
      <c r="S234" s="465"/>
      <c r="T234" s="465"/>
      <c r="U234" s="472">
        <f>AF221-U233</f>
        <v>2222</v>
      </c>
      <c r="V234" s="495">
        <f>SUM($F$233:$F$234)</f>
        <v>179.66666666666666</v>
      </c>
      <c r="W234" s="485" t="s">
        <v>250</v>
      </c>
      <c r="Y234" s="494"/>
      <c r="Z234" s="489"/>
      <c r="AA234" s="35"/>
      <c r="AB234" s="56"/>
      <c r="AC234" s="8"/>
      <c r="AD234" s="64"/>
      <c r="AE234" s="8"/>
      <c r="AF234" s="8"/>
      <c r="AG234" s="8"/>
      <c r="AH234" s="8"/>
      <c r="DL234" s="80"/>
      <c r="DN234" s="8"/>
    </row>
    <row r="235" spans="1:118" ht="42" customHeight="1" x14ac:dyDescent="0.25">
      <c r="C235" s="25" t="s">
        <v>251</v>
      </c>
      <c r="D235" s="24">
        <f>SUM(Q34,Q66,AE66,Q96,Q131,AE131,Q164,AA164,Q200,AA200)</f>
        <v>1000</v>
      </c>
      <c r="E235" s="22">
        <f t="shared" si="190"/>
        <v>40</v>
      </c>
      <c r="F235" s="78">
        <f>SUM(R34,R66,AH66,R96,R131,AH131,R164,AD164,R200,AD200)</f>
        <v>46.410620294588526</v>
      </c>
      <c r="G235" s="24">
        <f>(F235/$F$216)*100</f>
        <v>25.783677941438071</v>
      </c>
      <c r="H235" s="42"/>
      <c r="I235" s="22"/>
      <c r="J235" s="42"/>
      <c r="K235" s="22"/>
      <c r="L235" s="444"/>
      <c r="M235" s="444"/>
      <c r="N235" s="444"/>
      <c r="O235" s="445"/>
      <c r="P235" s="444"/>
      <c r="Q235" s="471"/>
      <c r="R235" s="465"/>
      <c r="S235" s="465"/>
      <c r="T235" s="465"/>
      <c r="U235" s="461"/>
      <c r="V235" s="489"/>
      <c r="W235" s="489"/>
      <c r="X235" s="489"/>
      <c r="Y235" s="499"/>
      <c r="Z235" s="489"/>
      <c r="AA235" s="8"/>
      <c r="AB235" s="116"/>
      <c r="AC235" s="8"/>
      <c r="AD235" s="8"/>
      <c r="AE235" s="8"/>
      <c r="AF235" s="8"/>
      <c r="AG235" s="8"/>
      <c r="AH235" s="8"/>
      <c r="DL235" s="80"/>
      <c r="DN235" s="8"/>
    </row>
    <row r="236" spans="1:118" ht="30" customHeight="1" x14ac:dyDescent="0.25">
      <c r="C236" s="29" t="s">
        <v>252</v>
      </c>
      <c r="D236" s="22">
        <f>SUM(D224:D228)</f>
        <v>895</v>
      </c>
      <c r="E236" s="22">
        <f>(D236/$D$216)*100</f>
        <v>35.799999999999997</v>
      </c>
      <c r="F236" s="22">
        <f>SUM(F224:F228)</f>
        <v>60</v>
      </c>
      <c r="G236" s="78">
        <f>(F236/$F$216)*100</f>
        <v>33.333333333333329</v>
      </c>
      <c r="H236" s="42"/>
      <c r="I236" s="22"/>
      <c r="J236" s="42"/>
      <c r="K236" s="22"/>
      <c r="L236" s="444"/>
      <c r="M236" s="444"/>
      <c r="N236" s="444"/>
      <c r="O236" s="445"/>
      <c r="P236" s="444"/>
      <c r="Q236" s="471"/>
      <c r="R236" s="465"/>
      <c r="S236" s="465"/>
      <c r="T236" s="465"/>
      <c r="U236" s="461" t="s">
        <v>253</v>
      </c>
      <c r="V236" s="489"/>
      <c r="W236" s="489"/>
      <c r="X236" s="489"/>
      <c r="Y236" s="489"/>
      <c r="Z236" s="489"/>
      <c r="AA236" s="8"/>
      <c r="AB236" s="116"/>
      <c r="AC236" s="8"/>
      <c r="AD236" s="8"/>
      <c r="AE236" s="8"/>
      <c r="AF236" s="8"/>
      <c r="AG236" s="8"/>
      <c r="AH236" s="8"/>
      <c r="DL236" s="80"/>
      <c r="DN236" s="8"/>
    </row>
    <row r="237" spans="1:118" ht="27.6" customHeight="1" x14ac:dyDescent="0.25">
      <c r="C237" s="28" t="s">
        <v>254</v>
      </c>
      <c r="D237" s="45">
        <f>D223</f>
        <v>90</v>
      </c>
      <c r="E237" s="22">
        <f t="shared" si="190"/>
        <v>3.5999999999999996</v>
      </c>
      <c r="F237" s="45">
        <f>F223</f>
        <v>6</v>
      </c>
      <c r="G237" s="16">
        <f t="shared" si="205"/>
        <v>3.3333333333333335</v>
      </c>
      <c r="H237" s="42"/>
      <c r="I237" s="22"/>
      <c r="J237" s="42"/>
      <c r="K237" s="22"/>
      <c r="L237" s="444"/>
      <c r="M237" s="444"/>
      <c r="N237" s="444"/>
      <c r="O237" s="445"/>
      <c r="P237" s="444"/>
      <c r="Q237" s="471"/>
      <c r="R237" s="465"/>
      <c r="S237" s="465"/>
      <c r="T237" s="465"/>
      <c r="U237" s="461" t="s">
        <v>255</v>
      </c>
      <c r="V237" s="489"/>
      <c r="W237" s="489"/>
      <c r="X237" s="489"/>
      <c r="Y237" s="489"/>
      <c r="Z237" s="489"/>
      <c r="AA237" s="8"/>
      <c r="AB237" s="116"/>
      <c r="AC237" s="8"/>
      <c r="AD237" s="8"/>
      <c r="AE237" s="8"/>
      <c r="AF237" s="8"/>
      <c r="AG237" s="8"/>
      <c r="AH237" s="8"/>
      <c r="DL237" s="80"/>
      <c r="DN237" s="8"/>
    </row>
    <row r="238" spans="1:118" ht="24" customHeight="1" x14ac:dyDescent="0.25">
      <c r="C238" s="28" t="s">
        <v>256</v>
      </c>
      <c r="D238" s="62">
        <f>SUM(E51,E84,E115,E148)</f>
        <v>120</v>
      </c>
      <c r="E238" s="22">
        <f t="shared" si="190"/>
        <v>4.8</v>
      </c>
      <c r="F238" s="62">
        <f>SUM(F51,F84,F115,F148)</f>
        <v>4</v>
      </c>
      <c r="G238" s="16">
        <f t="shared" si="205"/>
        <v>2.2222222222222223</v>
      </c>
      <c r="H238" s="42"/>
      <c r="I238" s="22"/>
      <c r="J238" s="42"/>
      <c r="K238" s="22"/>
      <c r="L238" s="444"/>
      <c r="M238" s="444"/>
      <c r="N238" s="444"/>
      <c r="O238" s="445"/>
      <c r="P238" s="444"/>
      <c r="Q238" s="471"/>
      <c r="R238" s="465"/>
      <c r="S238" s="465"/>
      <c r="T238" s="465"/>
      <c r="U238" s="461"/>
      <c r="V238" s="489"/>
      <c r="W238" s="489"/>
      <c r="X238" s="489"/>
      <c r="Y238" s="489"/>
      <c r="Z238" s="489"/>
      <c r="AA238" s="8"/>
      <c r="AB238" s="116"/>
      <c r="AC238" s="8"/>
      <c r="AD238" s="8"/>
      <c r="AE238" s="8"/>
      <c r="AF238" s="8"/>
      <c r="AG238" s="8"/>
      <c r="AH238" s="8"/>
      <c r="DL238" s="80"/>
      <c r="DN238" s="8"/>
    </row>
    <row r="239" spans="1:118" ht="37.15" customHeight="1" x14ac:dyDescent="0.25">
      <c r="C239" s="28" t="s">
        <v>257</v>
      </c>
      <c r="D239" s="45">
        <f>SUM(E19,E52,E85)</f>
        <v>60</v>
      </c>
      <c r="E239" s="22">
        <f t="shared" si="190"/>
        <v>2.4</v>
      </c>
      <c r="F239" s="45">
        <f>SUM(F19,F52,F85)</f>
        <v>0</v>
      </c>
      <c r="G239" s="16">
        <f t="shared" si="205"/>
        <v>0</v>
      </c>
      <c r="H239" s="42"/>
      <c r="I239" s="22"/>
      <c r="J239" s="42"/>
      <c r="K239" s="22"/>
      <c r="L239" s="444"/>
      <c r="M239" s="444"/>
      <c r="N239" s="444"/>
      <c r="O239" s="445"/>
      <c r="P239" s="444"/>
      <c r="Q239" s="471"/>
      <c r="R239" s="465"/>
      <c r="S239" s="465"/>
      <c r="T239" s="465"/>
      <c r="U239" s="461" t="s">
        <v>258</v>
      </c>
      <c r="V239" s="489"/>
      <c r="W239" s="489"/>
      <c r="X239" s="489"/>
      <c r="Y239" s="489"/>
      <c r="Z239" s="489"/>
      <c r="AA239" s="8"/>
      <c r="AB239" s="116"/>
      <c r="AC239" s="8"/>
      <c r="AD239" s="8"/>
      <c r="AE239" s="8"/>
      <c r="AF239" s="8"/>
      <c r="AG239" s="8"/>
      <c r="AH239" s="8"/>
      <c r="DL239" s="80"/>
      <c r="DN239" s="8"/>
    </row>
    <row r="240" spans="1:118" ht="57.6" customHeight="1" x14ac:dyDescent="0.25">
      <c r="C240" s="28" t="s">
        <v>259</v>
      </c>
      <c r="D240" s="246">
        <f>SUM(E13:E14,E47,E64,E79,E81:E83,E86,E107:E108,E111:E112,E114,E129,E142:E143,E147,E161,E172,E178:E181,E194)+(D225/2)</f>
        <v>1337</v>
      </c>
      <c r="E240" s="22">
        <f t="shared" si="190"/>
        <v>53.480000000000004</v>
      </c>
      <c r="F240" s="246">
        <f>SUM(F13:F14,F47,F64,F79,F81:F83,F86,F107:F108,F111:F112,F114,F129,F142:F143,F147,F161,F172,F178:F181,F194)+(F225/2)</f>
        <v>95</v>
      </c>
      <c r="G240" s="206">
        <f>(F240/$F$216)*100</f>
        <v>52.777777777777779</v>
      </c>
      <c r="H240" s="42"/>
      <c r="I240" s="22"/>
      <c r="J240" s="42"/>
      <c r="K240" s="22"/>
      <c r="L240" s="444"/>
      <c r="M240" s="444"/>
      <c r="N240" s="444"/>
      <c r="O240" s="445"/>
      <c r="P240" s="444"/>
      <c r="Q240" s="471"/>
      <c r="R240" s="465"/>
      <c r="S240" s="465"/>
      <c r="T240" s="465"/>
      <c r="U240" s="461"/>
      <c r="V240" s="489"/>
      <c r="W240" s="489"/>
      <c r="X240" s="489"/>
      <c r="Y240" s="489"/>
      <c r="Z240" s="489"/>
      <c r="AA240" s="8"/>
      <c r="AB240" s="116"/>
      <c r="AC240" s="8"/>
      <c r="AD240" s="8"/>
      <c r="AE240" s="8"/>
      <c r="AF240" s="8"/>
      <c r="AG240" s="8"/>
      <c r="AH240" s="8"/>
      <c r="DL240" s="80"/>
      <c r="DN240" s="8"/>
    </row>
    <row r="241" spans="1:118" ht="62.45" customHeight="1" x14ac:dyDescent="0.25">
      <c r="C241" s="28" t="s">
        <v>260</v>
      </c>
      <c r="D241" s="141">
        <f>SUM(E11,E16,E18:E21,E45,E49,E76,E79,E81:E83,E109,E111,E113,E140,E143,E146,E151,E173,E175,E196:E198)</f>
        <v>1298</v>
      </c>
      <c r="E241" s="22">
        <f>(D241/$D$216)*100</f>
        <v>51.92</v>
      </c>
      <c r="F241" s="62">
        <f>SUM(F11,F16,F18:F21,F45,F49,F76,F79,F81:F83,F109,F111,F113,F140,F143,F146,F151,F173,F175,F196:F198)</f>
        <v>106</v>
      </c>
      <c r="G241" s="142">
        <f>(F241/$F$216)*100</f>
        <v>58.888888888888893</v>
      </c>
      <c r="H241" s="42"/>
      <c r="I241" s="22"/>
      <c r="J241" s="42"/>
      <c r="K241" s="22"/>
      <c r="L241" s="444"/>
      <c r="M241" s="444"/>
      <c r="N241" s="444"/>
      <c r="O241" s="445"/>
      <c r="P241" s="444"/>
      <c r="Q241" s="471"/>
      <c r="R241" s="465"/>
      <c r="S241" s="465"/>
      <c r="T241" s="465"/>
      <c r="U241" s="473"/>
      <c r="V241" s="489"/>
      <c r="W241" s="489"/>
      <c r="X241" s="489"/>
      <c r="Y241" s="489"/>
      <c r="Z241" s="489"/>
      <c r="AA241" s="8"/>
      <c r="AB241" s="116"/>
      <c r="AC241" s="8"/>
      <c r="AD241" s="8"/>
      <c r="AE241" s="8"/>
      <c r="AF241" s="8"/>
      <c r="AG241" s="8"/>
      <c r="AH241" s="8"/>
      <c r="DL241" s="80"/>
      <c r="DN241" s="8"/>
    </row>
    <row r="242" spans="1:118" ht="51.75" x14ac:dyDescent="0.25">
      <c r="A242" s="9"/>
      <c r="B242" s="9"/>
      <c r="C242" s="19" t="s">
        <v>261</v>
      </c>
      <c r="D242" s="16">
        <f>$D$216-(I64+I129)</f>
        <v>2360</v>
      </c>
      <c r="E242" s="22">
        <f>(D242/$D$216)*100</f>
        <v>94.399999999999991</v>
      </c>
      <c r="F242" s="16">
        <f>$F$216-(J129+J161)</f>
        <v>176.2</v>
      </c>
      <c r="G242" s="16">
        <f>(F242/$F$216)*100</f>
        <v>97.888888888888886</v>
      </c>
      <c r="H242" s="44"/>
      <c r="I242" s="16"/>
      <c r="J242" s="44"/>
      <c r="K242" s="16"/>
      <c r="L242" s="445"/>
      <c r="M242" s="445"/>
      <c r="N242" s="445"/>
      <c r="O242" s="445"/>
      <c r="P242" s="445"/>
      <c r="Q242" s="471"/>
      <c r="R242" s="474"/>
      <c r="S242" s="474"/>
      <c r="T242" s="474"/>
      <c r="U242" s="461" t="s">
        <v>262</v>
      </c>
      <c r="V242" s="489"/>
      <c r="W242" s="489" t="s">
        <v>263</v>
      </c>
      <c r="X242" s="489"/>
      <c r="Y242" s="489"/>
      <c r="Z242" s="489"/>
      <c r="AA242" s="8"/>
      <c r="AB242" s="118"/>
      <c r="AC242" s="8"/>
      <c r="AD242" s="8"/>
      <c r="AE242" s="8"/>
      <c r="AF242" s="8"/>
      <c r="AG242" s="8"/>
      <c r="AH242" s="8"/>
      <c r="DL242" s="80"/>
      <c r="DN242" s="8"/>
    </row>
    <row r="243" spans="1:118" x14ac:dyDescent="0.25">
      <c r="C243" s="113" t="s">
        <v>264</v>
      </c>
      <c r="D243" s="24">
        <f>D244+D245</f>
        <v>400</v>
      </c>
      <c r="E243" s="22">
        <f>(D243/$D$216)*100</f>
        <v>16</v>
      </c>
      <c r="F243" s="24">
        <f>F244+F245</f>
        <v>28.221062653190124</v>
      </c>
      <c r="G243" s="78">
        <f>(F243/$F$216)*100</f>
        <v>15.678368140661181</v>
      </c>
      <c r="H243" s="112"/>
      <c r="I243" s="111"/>
      <c r="J243" s="112"/>
      <c r="K243" s="110"/>
      <c r="L243" s="446"/>
      <c r="M243" s="446"/>
      <c r="N243" s="446"/>
      <c r="O243" s="446"/>
      <c r="P243" s="446"/>
      <c r="Q243" s="475"/>
      <c r="R243" s="475"/>
      <c r="S243" s="475"/>
      <c r="T243" s="475"/>
      <c r="U243" s="461"/>
      <c r="V243" s="489"/>
      <c r="W243" s="489"/>
      <c r="X243" s="489"/>
      <c r="Y243" s="489"/>
      <c r="Z243" s="489"/>
      <c r="AA243" s="8"/>
      <c r="AB243" s="8"/>
      <c r="AC243" s="8"/>
      <c r="AD243" s="8"/>
      <c r="AE243" s="8"/>
      <c r="AF243" s="8"/>
      <c r="AG243" s="8"/>
      <c r="AH243" s="8"/>
    </row>
    <row r="244" spans="1:118" x14ac:dyDescent="0.25">
      <c r="C244" s="124" t="s">
        <v>265</v>
      </c>
      <c r="D244" s="24">
        <f>L34+L66+L96+L131+L164+L200</f>
        <v>380</v>
      </c>
      <c r="E244" s="110"/>
      <c r="F244" s="24">
        <f>M34+M66+M96+M131+M164+M200</f>
        <v>26.887729319856792</v>
      </c>
      <c r="G244" s="111"/>
      <c r="H244" s="112"/>
      <c r="I244" s="111"/>
      <c r="J244" s="112"/>
      <c r="K244" s="125"/>
      <c r="L244" s="446"/>
      <c r="M244" s="446"/>
      <c r="N244" s="446"/>
      <c r="O244" s="446"/>
      <c r="P244" s="446"/>
      <c r="Q244" s="475"/>
      <c r="R244" s="475"/>
      <c r="S244" s="475"/>
      <c r="T244" s="475"/>
      <c r="U244" s="461"/>
      <c r="V244" s="489"/>
      <c r="W244" s="489"/>
      <c r="X244" s="489"/>
      <c r="Y244" s="489"/>
      <c r="Z244" s="489"/>
      <c r="AA244" s="8"/>
      <c r="AB244" s="8"/>
      <c r="AC244" s="8"/>
      <c r="AD244" s="8"/>
      <c r="AE244" s="8"/>
      <c r="AF244" s="8"/>
      <c r="AG244" s="8"/>
      <c r="AH244" s="8"/>
    </row>
    <row r="245" spans="1:118" x14ac:dyDescent="0.25">
      <c r="C245" s="124" t="s">
        <v>266</v>
      </c>
      <c r="D245" s="24">
        <f>V20</f>
        <v>20</v>
      </c>
      <c r="E245" s="110"/>
      <c r="F245" s="282">
        <f>W20</f>
        <v>1.3333333333333333</v>
      </c>
      <c r="G245" s="111"/>
      <c r="H245" s="112"/>
      <c r="I245" s="111"/>
      <c r="J245" s="112"/>
      <c r="K245" s="125"/>
      <c r="L245" s="446"/>
      <c r="M245" s="446"/>
      <c r="N245" s="446"/>
      <c r="O245" s="446"/>
      <c r="P245" s="446"/>
      <c r="Q245" s="475"/>
      <c r="R245" s="475"/>
      <c r="S245" s="475"/>
      <c r="T245" s="475"/>
      <c r="U245" s="461"/>
      <c r="V245" s="489"/>
      <c r="W245" s="489"/>
      <c r="X245" s="489"/>
      <c r="Y245" s="489"/>
      <c r="Z245" s="489"/>
      <c r="AA245" s="8"/>
      <c r="AB245" s="8"/>
      <c r="AC245" s="8"/>
      <c r="AD245" s="8"/>
      <c r="AE245" s="8"/>
      <c r="AF245" s="8"/>
      <c r="AG245" s="8"/>
      <c r="AH245" s="8"/>
    </row>
    <row r="246" spans="1:118" ht="37.15" customHeight="1" x14ac:dyDescent="0.25">
      <c r="C246" s="67" t="s">
        <v>267</v>
      </c>
      <c r="D246" s="242">
        <f>SUM(E13,E47,E83,E86,E107,E111,E112,E114,E122,E147,E161,E180:E181,E194,E196)+(D225/2)</f>
        <v>895</v>
      </c>
      <c r="E246" s="22">
        <f>(D246/$D$216)*100</f>
        <v>35.799999999999997</v>
      </c>
      <c r="F246" s="35"/>
      <c r="G246" s="35"/>
      <c r="H246" s="33"/>
      <c r="I246" s="35"/>
      <c r="J246" s="33"/>
      <c r="L246" s="447"/>
      <c r="M246" s="447"/>
      <c r="N246" s="447"/>
      <c r="O246" s="447"/>
      <c r="P246" s="447"/>
      <c r="Q246" s="461"/>
      <c r="R246" s="461"/>
      <c r="S246" s="461"/>
      <c r="T246" s="461"/>
      <c r="U246" s="461"/>
      <c r="V246" s="489"/>
      <c r="W246" s="489"/>
      <c r="X246" s="489"/>
      <c r="Y246" s="489"/>
      <c r="Z246" s="489"/>
      <c r="AA246" s="8"/>
      <c r="AB246" s="8"/>
      <c r="AC246" s="8"/>
      <c r="AD246" s="8"/>
      <c r="AE246" s="8"/>
      <c r="AF246" s="8"/>
      <c r="AG246" s="8"/>
      <c r="AH246" s="8"/>
    </row>
    <row r="247" spans="1:118" x14ac:dyDescent="0.25">
      <c r="C247" s="10" t="s">
        <v>268</v>
      </c>
      <c r="D247" s="10" t="s">
        <v>206</v>
      </c>
      <c r="E247" s="8"/>
      <c r="F247" s="35"/>
      <c r="G247" s="35"/>
      <c r="H247" s="33"/>
      <c r="I247" s="35"/>
      <c r="J247" s="33"/>
      <c r="L247" s="447"/>
      <c r="M247" s="447"/>
      <c r="N247" s="447"/>
      <c r="O247" s="447"/>
      <c r="P247" s="447"/>
      <c r="Q247" s="461"/>
      <c r="R247" s="461"/>
      <c r="S247" s="461"/>
      <c r="T247" s="461"/>
      <c r="U247" s="461"/>
      <c r="V247" s="489"/>
      <c r="W247" s="489"/>
      <c r="X247" s="489"/>
      <c r="Y247" s="489"/>
      <c r="Z247" s="489"/>
      <c r="AA247" s="8"/>
      <c r="AB247" s="8"/>
      <c r="AC247" s="8"/>
      <c r="AD247" s="8"/>
      <c r="AE247" s="8"/>
      <c r="AF247" s="8"/>
      <c r="AG247" s="8"/>
      <c r="AH247" s="8"/>
    </row>
    <row r="248" spans="1:118" ht="15" customHeight="1" x14ac:dyDescent="0.25">
      <c r="C248" s="10" t="s">
        <v>269</v>
      </c>
      <c r="D248" s="10" t="s">
        <v>207</v>
      </c>
      <c r="E248" s="8"/>
      <c r="F248" s="35"/>
      <c r="G248" s="35"/>
      <c r="H248" s="33"/>
      <c r="I248" s="35"/>
      <c r="J248" s="33"/>
      <c r="L248" s="447"/>
      <c r="M248" s="447"/>
      <c r="N248" s="447"/>
      <c r="O248" s="447"/>
      <c r="P248" s="447"/>
      <c r="Q248" s="461"/>
      <c r="R248" s="461"/>
      <c r="S248" s="461"/>
      <c r="T248" s="461"/>
      <c r="U248" s="461"/>
      <c r="V248" s="489"/>
      <c r="W248" s="489"/>
      <c r="X248" s="489"/>
      <c r="Y248" s="489"/>
      <c r="Z248" s="489"/>
      <c r="AA248" s="8"/>
      <c r="AB248" s="8"/>
      <c r="AC248" s="8"/>
      <c r="AD248" s="8"/>
      <c r="AE248" s="8"/>
      <c r="AF248" s="8"/>
      <c r="AG248" s="8"/>
      <c r="AH248" s="8"/>
    </row>
    <row r="249" spans="1:118" ht="15" customHeight="1" x14ac:dyDescent="0.25">
      <c r="C249" s="10" t="s">
        <v>270</v>
      </c>
      <c r="D249" s="10" t="s">
        <v>208</v>
      </c>
      <c r="S249" s="461"/>
      <c r="T249" s="461"/>
      <c r="U249" s="461"/>
      <c r="V249" s="489"/>
      <c r="W249" s="489"/>
      <c r="X249" s="489"/>
      <c r="Y249" s="489"/>
      <c r="Z249" s="489"/>
      <c r="AA249" s="8"/>
      <c r="AB249" s="8"/>
      <c r="AC249" s="8"/>
      <c r="AD249" s="8"/>
      <c r="AE249" s="8"/>
      <c r="AF249" s="8"/>
      <c r="AG249" s="8"/>
      <c r="AH249" s="8"/>
    </row>
    <row r="250" spans="1:118" ht="15" customHeight="1" x14ac:dyDescent="0.25">
      <c r="C250" s="10" t="s">
        <v>271</v>
      </c>
      <c r="D250" s="10" t="s">
        <v>184</v>
      </c>
      <c r="E250" s="8"/>
      <c r="F250" s="35"/>
      <c r="G250" s="35"/>
      <c r="S250" s="461"/>
      <c r="T250" s="461"/>
      <c r="U250" s="461"/>
      <c r="V250" s="489"/>
      <c r="W250" s="489"/>
      <c r="X250" s="489"/>
      <c r="Y250" s="489"/>
      <c r="Z250" s="489"/>
      <c r="AA250" s="8"/>
      <c r="AB250" s="8"/>
      <c r="AC250" s="8"/>
      <c r="AD250" s="8"/>
      <c r="AE250" s="8"/>
      <c r="AF250" s="8"/>
      <c r="AG250" s="8"/>
      <c r="AH250" s="8"/>
    </row>
    <row r="251" spans="1:118" ht="15" customHeight="1" x14ac:dyDescent="0.25">
      <c r="C251" s="10" t="s">
        <v>272</v>
      </c>
      <c r="D251" s="10" t="s">
        <v>209</v>
      </c>
      <c r="E251" s="8"/>
      <c r="F251" s="35"/>
      <c r="G251" s="35"/>
      <c r="S251" s="461"/>
      <c r="T251" s="461"/>
      <c r="U251" s="461"/>
      <c r="V251" s="489"/>
      <c r="W251" s="489"/>
      <c r="X251" s="489"/>
      <c r="Y251" s="489"/>
      <c r="Z251" s="489"/>
      <c r="AA251" s="8"/>
      <c r="AB251" s="8"/>
      <c r="AC251" s="8"/>
      <c r="AD251" s="8"/>
      <c r="AE251" s="8"/>
      <c r="AF251" s="8"/>
      <c r="AG251" s="8"/>
      <c r="AH251" s="8"/>
    </row>
    <row r="252" spans="1:118" x14ac:dyDescent="0.25">
      <c r="C252" s="10" t="s">
        <v>273</v>
      </c>
      <c r="D252" s="10" t="s">
        <v>193</v>
      </c>
      <c r="S252" s="461"/>
      <c r="T252" s="461"/>
      <c r="U252" s="461"/>
      <c r="V252" s="489"/>
      <c r="W252" s="489"/>
      <c r="X252" s="489"/>
      <c r="Y252" s="489"/>
      <c r="Z252" s="489"/>
      <c r="AA252" s="8"/>
      <c r="AB252" s="8"/>
      <c r="AC252" s="8"/>
      <c r="AD252" s="8"/>
      <c r="AE252" s="8"/>
      <c r="AF252" s="8"/>
      <c r="AG252" s="8"/>
      <c r="AH252" s="8"/>
    </row>
    <row r="253" spans="1:118" ht="15.75" customHeight="1" x14ac:dyDescent="0.25">
      <c r="S253" s="461"/>
      <c r="T253" s="461"/>
      <c r="U253" s="461"/>
      <c r="V253" s="489"/>
      <c r="W253" s="489"/>
      <c r="X253" s="489"/>
      <c r="Y253" s="489"/>
      <c r="Z253" s="489"/>
      <c r="AA253" s="8"/>
      <c r="AB253" s="8"/>
      <c r="AC253" s="8"/>
      <c r="AD253" s="8"/>
      <c r="AE253" s="8"/>
      <c r="AF253" s="8"/>
      <c r="AG253" s="8"/>
      <c r="AH253" s="8"/>
    </row>
    <row r="254" spans="1:118" ht="15.75" customHeight="1" x14ac:dyDescent="0.25">
      <c r="C254" s="50"/>
      <c r="D254" s="51"/>
      <c r="E254" s="51"/>
      <c r="F254" s="52"/>
      <c r="G254" s="52"/>
      <c r="H254" s="53"/>
      <c r="I254" s="52"/>
      <c r="J254" s="53"/>
      <c r="L254" s="448"/>
      <c r="M254" s="448"/>
      <c r="S254" s="461"/>
      <c r="T254" s="461"/>
      <c r="U254" s="461"/>
      <c r="V254" s="489"/>
      <c r="W254" s="489"/>
      <c r="X254" s="489"/>
      <c r="Y254" s="489"/>
      <c r="Z254" s="489"/>
      <c r="AA254" s="8"/>
      <c r="AB254" s="8"/>
      <c r="AC254" s="8"/>
      <c r="AD254" s="8"/>
      <c r="AE254" s="8"/>
      <c r="AF254" s="8"/>
      <c r="AG254" s="8"/>
      <c r="AH254" s="8"/>
    </row>
    <row r="255" spans="1:118" ht="15.75" customHeight="1" x14ac:dyDescent="0.25">
      <c r="C255" s="18" t="s">
        <v>274</v>
      </c>
      <c r="D255" s="51"/>
      <c r="E255" s="51"/>
      <c r="F255" s="52"/>
      <c r="G255" s="52"/>
      <c r="H255" s="53"/>
      <c r="I255" s="52"/>
      <c r="J255" s="53"/>
      <c r="L255" s="448"/>
      <c r="M255" s="448"/>
    </row>
    <row r="256" spans="1:118" ht="15.75" x14ac:dyDescent="0.25">
      <c r="C256" s="10" t="s">
        <v>275</v>
      </c>
      <c r="D256" s="119">
        <f>D216</f>
        <v>2500</v>
      </c>
      <c r="E256" s="51"/>
      <c r="F256" s="52"/>
      <c r="G256" s="52"/>
      <c r="H256" s="53"/>
      <c r="I256" s="52"/>
      <c r="J256" s="53"/>
      <c r="L256" s="448"/>
      <c r="M256" s="448"/>
    </row>
    <row r="257" spans="3:4" x14ac:dyDescent="0.25">
      <c r="C257" s="10" t="s">
        <v>8</v>
      </c>
      <c r="D257" s="30">
        <f>F216</f>
        <v>180</v>
      </c>
    </row>
    <row r="258" spans="3:4" x14ac:dyDescent="0.25">
      <c r="C258" s="10" t="s">
        <v>276</v>
      </c>
      <c r="D258" s="10">
        <f>D257*25</f>
        <v>4500</v>
      </c>
    </row>
    <row r="259" spans="3:4" x14ac:dyDescent="0.25">
      <c r="C259" s="10" t="s">
        <v>277</v>
      </c>
      <c r="D259" s="10">
        <f>D257*30</f>
        <v>5400</v>
      </c>
    </row>
    <row r="260" spans="3:4" x14ac:dyDescent="0.25">
      <c r="C260" s="10" t="s">
        <v>278</v>
      </c>
      <c r="D260" s="30">
        <f>(176*25)+(4*30)</f>
        <v>4520</v>
      </c>
    </row>
    <row r="261" spans="3:4" x14ac:dyDescent="0.25">
      <c r="C261" s="67" t="s">
        <v>279</v>
      </c>
      <c r="D261" s="30">
        <f>D260+AF220</f>
        <v>4582</v>
      </c>
    </row>
  </sheetData>
  <sortState xmlns:xlrd2="http://schemas.microsoft.com/office/spreadsheetml/2017/richdata2" ref="DP1:DP253">
    <sortCondition ref="DP1:DP253"/>
  </sortState>
  <mergeCells count="210">
    <mergeCell ref="A97:AH98"/>
    <mergeCell ref="A96:D96"/>
    <mergeCell ref="A95:D95"/>
    <mergeCell ref="A120:D120"/>
    <mergeCell ref="A121:AG121"/>
    <mergeCell ref="A128:AH128"/>
    <mergeCell ref="A103:AH103"/>
    <mergeCell ref="A105:D105"/>
    <mergeCell ref="A106:AH106"/>
    <mergeCell ref="A109:D109"/>
    <mergeCell ref="A110:AH110"/>
    <mergeCell ref="A116:D116"/>
    <mergeCell ref="A117:AH117"/>
    <mergeCell ref="K111:K112"/>
    <mergeCell ref="AA100:AH100"/>
    <mergeCell ref="AA101:AD101"/>
    <mergeCell ref="AE101:AH101"/>
    <mergeCell ref="G100:G102"/>
    <mergeCell ref="H100:H102"/>
    <mergeCell ref="I100:I102"/>
    <mergeCell ref="J100:J102"/>
    <mergeCell ref="G99:AH99"/>
    <mergeCell ref="A12:AH12"/>
    <mergeCell ref="A16:D16"/>
    <mergeCell ref="A99:A102"/>
    <mergeCell ref="C99:C102"/>
    <mergeCell ref="A6:AH6"/>
    <mergeCell ref="A11:D11"/>
    <mergeCell ref="D99:D102"/>
    <mergeCell ref="E99:F99"/>
    <mergeCell ref="E100:E102"/>
    <mergeCell ref="F100:F102"/>
    <mergeCell ref="A53:D53"/>
    <mergeCell ref="A46:AH46"/>
    <mergeCell ref="A49:D49"/>
    <mergeCell ref="A50:AH50"/>
    <mergeCell ref="D69:D72"/>
    <mergeCell ref="E69:F69"/>
    <mergeCell ref="E70:E72"/>
    <mergeCell ref="G70:G72"/>
    <mergeCell ref="H70:H72"/>
    <mergeCell ref="I70:I72"/>
    <mergeCell ref="J70:J72"/>
    <mergeCell ref="G69:AH69"/>
    <mergeCell ref="L71:P71"/>
    <mergeCell ref="Q71:U71"/>
    <mergeCell ref="A1:AH1"/>
    <mergeCell ref="A2:A5"/>
    <mergeCell ref="C2:C5"/>
    <mergeCell ref="D2:D5"/>
    <mergeCell ref="E2:F2"/>
    <mergeCell ref="E3:E5"/>
    <mergeCell ref="F3:F5"/>
    <mergeCell ref="G3:G5"/>
    <mergeCell ref="H3:H5"/>
    <mergeCell ref="I3:I5"/>
    <mergeCell ref="J3:J5"/>
    <mergeCell ref="AA3:AH3"/>
    <mergeCell ref="G2:AH2"/>
    <mergeCell ref="K3:K5"/>
    <mergeCell ref="L4:P4"/>
    <mergeCell ref="Q4:U4"/>
    <mergeCell ref="V4:Z4"/>
    <mergeCell ref="L3:Z3"/>
    <mergeCell ref="AA4:AD4"/>
    <mergeCell ref="AE4:AH4"/>
    <mergeCell ref="G36:AH36"/>
    <mergeCell ref="K37:K39"/>
    <mergeCell ref="A45:D45"/>
    <mergeCell ref="A17:AH17"/>
    <mergeCell ref="A24:D24"/>
    <mergeCell ref="A25:AH25"/>
    <mergeCell ref="A26:AH26"/>
    <mergeCell ref="A30:D30"/>
    <mergeCell ref="A31:AG31"/>
    <mergeCell ref="A33:D33"/>
    <mergeCell ref="A34:D34"/>
    <mergeCell ref="A35:AH35"/>
    <mergeCell ref="A36:A39"/>
    <mergeCell ref="F37:F39"/>
    <mergeCell ref="Q38:U38"/>
    <mergeCell ref="V38:Z38"/>
    <mergeCell ref="L37:Z37"/>
    <mergeCell ref="C36:C39"/>
    <mergeCell ref="D36:D39"/>
    <mergeCell ref="E36:F36"/>
    <mergeCell ref="E37:E39"/>
    <mergeCell ref="AA37:AH37"/>
    <mergeCell ref="C32:D32"/>
    <mergeCell ref="AA38:AD38"/>
    <mergeCell ref="G37:G39"/>
    <mergeCell ref="H37:H39"/>
    <mergeCell ref="I37:I39"/>
    <mergeCell ref="J37:J39"/>
    <mergeCell ref="L38:P38"/>
    <mergeCell ref="A87:D87"/>
    <mergeCell ref="A62:D62"/>
    <mergeCell ref="A67:AH68"/>
    <mergeCell ref="A54:AH54"/>
    <mergeCell ref="AE38:AH38"/>
    <mergeCell ref="A40:AH40"/>
    <mergeCell ref="A65:D65"/>
    <mergeCell ref="A66:D66"/>
    <mergeCell ref="V71:Z71"/>
    <mergeCell ref="A63:AH63"/>
    <mergeCell ref="A55:AG55"/>
    <mergeCell ref="C56:D56"/>
    <mergeCell ref="G134:AH134"/>
    <mergeCell ref="L135:Z135"/>
    <mergeCell ref="K135:K137"/>
    <mergeCell ref="L136:P136"/>
    <mergeCell ref="Q136:U136"/>
    <mergeCell ref="V136:Z136"/>
    <mergeCell ref="A88:AH88"/>
    <mergeCell ref="A94:D94"/>
    <mergeCell ref="AE71:AH71"/>
    <mergeCell ref="A73:AH73"/>
    <mergeCell ref="A76:D76"/>
    <mergeCell ref="A77:AH77"/>
    <mergeCell ref="A79:D79"/>
    <mergeCell ref="A80:AH80"/>
    <mergeCell ref="F70:F72"/>
    <mergeCell ref="AA70:AH70"/>
    <mergeCell ref="AA71:AD71"/>
    <mergeCell ref="A69:A72"/>
    <mergeCell ref="C69:C72"/>
    <mergeCell ref="L70:Z70"/>
    <mergeCell ref="K70:K72"/>
    <mergeCell ref="A89:AG89"/>
    <mergeCell ref="C90:D90"/>
    <mergeCell ref="C123:D123"/>
    <mergeCell ref="AE169:AH169"/>
    <mergeCell ref="V169:Z169"/>
    <mergeCell ref="Q169:U169"/>
    <mergeCell ref="L169:P169"/>
    <mergeCell ref="K168:K170"/>
    <mergeCell ref="L168:Z168"/>
    <mergeCell ref="A153:AG153"/>
    <mergeCell ref="A159:D159"/>
    <mergeCell ref="K100:K102"/>
    <mergeCell ref="L101:P101"/>
    <mergeCell ref="Q101:U101"/>
    <mergeCell ref="V101:Z101"/>
    <mergeCell ref="L100:Z100"/>
    <mergeCell ref="A130:D130"/>
    <mergeCell ref="A131:D131"/>
    <mergeCell ref="A132:AH133"/>
    <mergeCell ref="A134:A137"/>
    <mergeCell ref="C134:C137"/>
    <mergeCell ref="D134:D137"/>
    <mergeCell ref="E134:F134"/>
    <mergeCell ref="E135:E137"/>
    <mergeCell ref="F135:F137"/>
    <mergeCell ref="G135:G137"/>
    <mergeCell ref="H135:H137"/>
    <mergeCell ref="A138:AH138"/>
    <mergeCell ref="A140:D140"/>
    <mergeCell ref="A141:AH141"/>
    <mergeCell ref="A144:D144"/>
    <mergeCell ref="A145:AH145"/>
    <mergeCell ref="A149:D149"/>
    <mergeCell ref="A160:AH160"/>
    <mergeCell ref="AA135:AH135"/>
    <mergeCell ref="AA136:AD136"/>
    <mergeCell ref="AE136:AH136"/>
    <mergeCell ref="A150:AH150"/>
    <mergeCell ref="I135:I137"/>
    <mergeCell ref="J135:J137"/>
    <mergeCell ref="C154:D154"/>
    <mergeCell ref="A201:AH201"/>
    <mergeCell ref="A187:AG187"/>
    <mergeCell ref="A171:AH171"/>
    <mergeCell ref="A173:D173"/>
    <mergeCell ref="A174:AH174"/>
    <mergeCell ref="A182:D182"/>
    <mergeCell ref="A183:AH183"/>
    <mergeCell ref="A193:AH193"/>
    <mergeCell ref="A195:AH195"/>
    <mergeCell ref="K196:K197"/>
    <mergeCell ref="C188:D188"/>
    <mergeCell ref="F196:F197"/>
    <mergeCell ref="G196:G197"/>
    <mergeCell ref="H196:H197"/>
    <mergeCell ref="I196:I197"/>
    <mergeCell ref="J196:J197"/>
    <mergeCell ref="W196:W197"/>
    <mergeCell ref="AL2:AL5"/>
    <mergeCell ref="AL36:AL39"/>
    <mergeCell ref="AL69:AL72"/>
    <mergeCell ref="AL99:AL102"/>
    <mergeCell ref="AL134:AL137"/>
    <mergeCell ref="AL167:AL170"/>
    <mergeCell ref="A199:D199"/>
    <mergeCell ref="A200:D200"/>
    <mergeCell ref="A163:D163"/>
    <mergeCell ref="A164:D164"/>
    <mergeCell ref="A165:AH166"/>
    <mergeCell ref="A167:A170"/>
    <mergeCell ref="C167:C170"/>
    <mergeCell ref="D167:D170"/>
    <mergeCell ref="E167:F167"/>
    <mergeCell ref="E168:E170"/>
    <mergeCell ref="F168:F170"/>
    <mergeCell ref="G168:G170"/>
    <mergeCell ref="H168:H170"/>
    <mergeCell ref="I168:I170"/>
    <mergeCell ref="J168:J170"/>
    <mergeCell ref="G167:AH167"/>
    <mergeCell ref="AA168:AH168"/>
    <mergeCell ref="AA169:AD169"/>
  </mergeCells>
  <phoneticPr fontId="50" type="noConversion"/>
  <hyperlinks>
    <hyperlink ref="AJ75" r:id="rId1" display="https://umlub.pl/uczelnia/pracownicy/szczegoly,731.html" xr:uid="{00000000-0004-0000-0000-000000000000}"/>
    <hyperlink ref="AK78" r:id="rId2" display="https://umlub.pl/uczelnia/pracownicy/szczegoly,1935.html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17" fitToHeight="0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workbookViewId="0">
      <selection activeCell="F12" sqref="F12"/>
    </sheetView>
  </sheetViews>
  <sheetFormatPr defaultRowHeight="15" x14ac:dyDescent="0.25"/>
  <cols>
    <col min="1" max="1" width="32.28515625" customWidth="1"/>
    <col min="2" max="2" width="22.5703125" customWidth="1"/>
    <col min="3" max="4" width="9.140625" customWidth="1"/>
    <col min="11" max="11" width="11" customWidth="1"/>
  </cols>
  <sheetData>
    <row r="1" spans="1:11" s="238" customFormat="1" ht="27.6" customHeight="1" x14ac:dyDescent="0.25">
      <c r="A1" s="602" t="s">
        <v>782</v>
      </c>
      <c r="B1" s="603"/>
      <c r="C1" s="603"/>
      <c r="D1" s="603"/>
      <c r="E1" s="603"/>
      <c r="F1" s="603"/>
      <c r="G1" s="603"/>
      <c r="H1" s="603"/>
      <c r="I1" s="603"/>
      <c r="J1" s="603"/>
      <c r="K1" s="604"/>
    </row>
    <row r="2" spans="1:11" ht="31.15" customHeight="1" x14ac:dyDescent="0.25">
      <c r="A2" s="239" t="s">
        <v>3</v>
      </c>
      <c r="B2" s="239" t="s">
        <v>783</v>
      </c>
      <c r="C2" s="239" t="s">
        <v>751</v>
      </c>
      <c r="D2" s="239" t="s">
        <v>8</v>
      </c>
      <c r="E2" s="239" t="s">
        <v>206</v>
      </c>
      <c r="F2" s="239" t="s">
        <v>784</v>
      </c>
      <c r="G2" s="239" t="s">
        <v>207</v>
      </c>
      <c r="H2" s="239" t="s">
        <v>784</v>
      </c>
      <c r="I2" s="239" t="s">
        <v>208</v>
      </c>
      <c r="J2" s="239" t="s">
        <v>784</v>
      </c>
      <c r="K2" s="239"/>
    </row>
    <row r="3" spans="1:11" ht="27" customHeight="1" x14ac:dyDescent="0.25">
      <c r="A3" s="240" t="str">
        <f>plan_statystyki!C20</f>
        <v>Technologie informacyjne</v>
      </c>
      <c r="B3" s="414" t="str">
        <f>plan_statystyki!D20</f>
        <v>Zakład  Informatyki i Statystyki Medycznej z Pracownią zdalnego nauczania</v>
      </c>
      <c r="C3" s="240">
        <f>plan_statystyki!E20</f>
        <v>30</v>
      </c>
      <c r="D3" s="240">
        <f>plan_statystyki!F20</f>
        <v>2</v>
      </c>
      <c r="E3" s="240">
        <f>plan_statystyki!G20</f>
        <v>30</v>
      </c>
      <c r="F3" s="240">
        <f>plan_statystyki!H20</f>
        <v>1.2</v>
      </c>
      <c r="G3" s="240">
        <f>plan_statystyki!I20</f>
        <v>20</v>
      </c>
      <c r="H3" s="240">
        <f>plan_statystyki!J20</f>
        <v>0.8</v>
      </c>
      <c r="I3" s="240" t="str">
        <f>plan_statystyki!K20</f>
        <v>ZO</v>
      </c>
      <c r="J3" s="240">
        <f>plan_statystyki!L20</f>
        <v>10</v>
      </c>
      <c r="K3" s="241" t="s">
        <v>785</v>
      </c>
    </row>
  </sheetData>
  <mergeCells count="1">
    <mergeCell ref="A1:K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W128"/>
  <sheetViews>
    <sheetView topLeftCell="J15" workbookViewId="0">
      <selection activeCell="Q2" sqref="Q2"/>
    </sheetView>
  </sheetViews>
  <sheetFormatPr defaultRowHeight="15" x14ac:dyDescent="0.25"/>
  <sheetData>
    <row r="1" spans="1:127" s="8" customFormat="1" x14ac:dyDescent="0.25">
      <c r="A1" s="10"/>
      <c r="B1" s="10"/>
      <c r="C1" s="10"/>
      <c r="D1" s="10"/>
      <c r="E1" s="30"/>
      <c r="F1" s="30"/>
      <c r="G1" s="32"/>
      <c r="H1" s="30"/>
      <c r="I1" s="32"/>
      <c r="J1" s="115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DV1" s="80"/>
      <c r="DW1" s="80"/>
    </row>
    <row r="2" spans="1:127" s="8" customFormat="1" ht="15.75" x14ac:dyDescent="0.25">
      <c r="A2" s="10"/>
      <c r="B2" s="50"/>
      <c r="C2" s="51"/>
      <c r="D2" s="51"/>
      <c r="E2" s="52"/>
      <c r="F2" s="52"/>
      <c r="G2" s="53"/>
      <c r="H2" s="52"/>
      <c r="I2" s="53"/>
      <c r="J2" s="115"/>
      <c r="K2" s="51"/>
      <c r="L2" s="51"/>
      <c r="M2" s="10"/>
      <c r="N2" s="10"/>
      <c r="O2" s="10"/>
      <c r="P2" s="10"/>
      <c r="Q2" s="105" t="s">
        <v>786</v>
      </c>
      <c r="R2" s="10"/>
      <c r="S2" s="10"/>
      <c r="T2" s="10"/>
      <c r="U2" s="10"/>
      <c r="V2" s="10"/>
      <c r="W2" s="10"/>
      <c r="DV2" s="80"/>
      <c r="DW2" s="80"/>
    </row>
    <row r="3" spans="1:127" s="8" customFormat="1" ht="15.75" x14ac:dyDescent="0.25">
      <c r="A3" s="10"/>
      <c r="B3" s="51"/>
      <c r="C3" s="51"/>
      <c r="D3" s="51"/>
      <c r="E3" s="52"/>
      <c r="F3" s="52"/>
      <c r="G3" s="53"/>
      <c r="H3" s="52"/>
      <c r="I3" s="53"/>
      <c r="J3" s="115"/>
      <c r="K3" s="51"/>
      <c r="L3" s="51"/>
      <c r="M3" s="10"/>
      <c r="N3" s="10"/>
      <c r="O3" s="10"/>
      <c r="P3" s="10"/>
      <c r="Q3" s="105" t="s">
        <v>787</v>
      </c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DV3" s="80"/>
      <c r="DW3" s="80"/>
    </row>
    <row r="4" spans="1:127" s="8" customFormat="1" ht="15.75" x14ac:dyDescent="0.25">
      <c r="A4" s="10"/>
      <c r="B4" s="51"/>
      <c r="C4" s="51"/>
      <c r="D4" s="51"/>
      <c r="E4" s="52"/>
      <c r="F4" s="52"/>
      <c r="G4" s="53"/>
      <c r="H4" s="52"/>
      <c r="I4" s="53"/>
      <c r="J4" s="115"/>
      <c r="K4" s="51"/>
      <c r="L4" s="51"/>
      <c r="M4" s="10"/>
      <c r="N4" s="10"/>
      <c r="O4" s="10"/>
      <c r="P4" s="10"/>
      <c r="Q4" s="54" t="s">
        <v>788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DV4" s="80"/>
      <c r="DW4" s="80"/>
    </row>
    <row r="5" spans="1:127" s="8" customFormat="1" x14ac:dyDescent="0.25">
      <c r="A5" s="10"/>
      <c r="B5" s="10"/>
      <c r="C5" s="10"/>
      <c r="D5" s="10"/>
      <c r="E5" s="30"/>
      <c r="F5" s="30"/>
      <c r="G5" s="32"/>
      <c r="H5" s="30"/>
      <c r="I5" s="32"/>
      <c r="J5" s="115"/>
      <c r="K5" s="10"/>
      <c r="L5" s="10"/>
      <c r="M5" s="10"/>
      <c r="N5" s="10"/>
      <c r="O5" s="10"/>
      <c r="P5" s="10"/>
      <c r="Q5" s="54" t="s">
        <v>789</v>
      </c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DV5" s="80"/>
      <c r="DW5" s="80"/>
    </row>
    <row r="6" spans="1:127" s="8" customFormat="1" x14ac:dyDescent="0.25">
      <c r="A6" s="10"/>
      <c r="B6" s="10"/>
      <c r="C6" s="10"/>
      <c r="D6" s="10"/>
      <c r="E6" s="30"/>
      <c r="F6" s="30"/>
      <c r="G6" s="32"/>
      <c r="H6" s="30"/>
      <c r="I6" s="32"/>
      <c r="J6" s="115"/>
      <c r="K6" s="10"/>
      <c r="L6" s="10"/>
      <c r="M6" s="10"/>
      <c r="N6" s="10"/>
      <c r="O6" s="10"/>
      <c r="P6" s="10"/>
      <c r="Q6" s="56" t="s">
        <v>790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DV6" s="80"/>
      <c r="DW6" s="80"/>
    </row>
    <row r="7" spans="1:127" s="8" customFormat="1" x14ac:dyDescent="0.25">
      <c r="A7" s="10"/>
      <c r="B7" s="10"/>
      <c r="C7" s="10"/>
      <c r="D7" s="10"/>
      <c r="E7" s="30"/>
      <c r="F7" s="30"/>
      <c r="G7" s="32"/>
      <c r="H7" s="30"/>
      <c r="I7" s="32"/>
      <c r="J7" s="115"/>
      <c r="K7" s="10"/>
      <c r="L7" s="10"/>
      <c r="M7" s="10"/>
      <c r="N7" s="10"/>
      <c r="O7" s="10"/>
      <c r="P7" s="10"/>
      <c r="Q7" s="56" t="s">
        <v>791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DV7" s="80"/>
      <c r="DW7" s="80"/>
    </row>
    <row r="8" spans="1:127" s="8" customFormat="1" x14ac:dyDescent="0.25">
      <c r="A8" s="10"/>
      <c r="B8" s="10"/>
      <c r="C8" s="10"/>
      <c r="D8" s="10"/>
      <c r="E8" s="30"/>
      <c r="F8" s="30"/>
      <c r="G8" s="32"/>
      <c r="H8" s="30"/>
      <c r="I8" s="32"/>
      <c r="J8" s="115"/>
      <c r="K8" s="10"/>
      <c r="L8" s="10"/>
      <c r="M8" s="10"/>
      <c r="N8" s="10"/>
      <c r="O8" s="10"/>
      <c r="P8" s="10"/>
      <c r="Q8" s="56" t="s">
        <v>792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DV8" s="80"/>
      <c r="DW8" s="80"/>
    </row>
    <row r="9" spans="1:127" s="8" customFormat="1" x14ac:dyDescent="0.25">
      <c r="A9" s="10"/>
      <c r="B9" s="10"/>
      <c r="C9" s="10"/>
      <c r="D9" s="10"/>
      <c r="E9" s="30"/>
      <c r="F9" s="30"/>
      <c r="G9" s="32"/>
      <c r="H9" s="30"/>
      <c r="I9" s="32"/>
      <c r="J9" s="115"/>
      <c r="K9" s="10"/>
      <c r="L9" s="10"/>
      <c r="M9" s="10"/>
      <c r="N9" s="10"/>
      <c r="O9" s="10"/>
      <c r="P9" s="10"/>
      <c r="Q9" s="56" t="s">
        <v>793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DV9" s="80"/>
      <c r="DW9" s="80"/>
    </row>
    <row r="10" spans="1:127" s="8" customFormat="1" x14ac:dyDescent="0.25">
      <c r="A10" s="10"/>
      <c r="B10" s="10"/>
      <c r="C10" s="10"/>
      <c r="D10" s="10"/>
      <c r="E10" s="30"/>
      <c r="F10" s="30"/>
      <c r="G10" s="32"/>
      <c r="H10" s="30"/>
      <c r="I10" s="32"/>
      <c r="J10" s="115"/>
      <c r="K10" s="10"/>
      <c r="L10" s="10"/>
      <c r="M10" s="10"/>
      <c r="N10" s="10"/>
      <c r="O10" s="10"/>
      <c r="P10" s="10"/>
      <c r="Q10" s="57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DV10" s="80"/>
      <c r="DW10" s="80"/>
    </row>
    <row r="11" spans="1:127" s="8" customFormat="1" x14ac:dyDescent="0.25">
      <c r="A11" s="10"/>
      <c r="B11" s="10"/>
      <c r="C11" s="10"/>
      <c r="D11" s="10"/>
      <c r="E11" s="30"/>
      <c r="F11" s="30"/>
      <c r="G11" s="32"/>
      <c r="H11" s="30"/>
      <c r="I11" s="32"/>
      <c r="J11" s="115"/>
      <c r="K11" s="10"/>
      <c r="L11" s="10"/>
      <c r="M11" s="10"/>
      <c r="N11" s="10"/>
      <c r="O11" s="10"/>
      <c r="P11" s="10"/>
      <c r="Q11" s="54" t="s">
        <v>794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DV11" s="80"/>
      <c r="DW11" s="80"/>
    </row>
    <row r="12" spans="1:127" s="8" customFormat="1" x14ac:dyDescent="0.25">
      <c r="A12" s="10"/>
      <c r="B12" s="10"/>
      <c r="C12" s="10"/>
      <c r="D12" s="10"/>
      <c r="E12" s="30"/>
      <c r="F12" s="30"/>
      <c r="G12" s="32"/>
      <c r="H12" s="30"/>
      <c r="I12" s="32"/>
      <c r="J12" s="115"/>
      <c r="K12" s="10"/>
      <c r="L12" s="10"/>
      <c r="M12" s="10"/>
      <c r="N12" s="10"/>
      <c r="O12" s="10"/>
      <c r="P12" s="10"/>
      <c r="Q12" s="56" t="s">
        <v>795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DV12" s="80"/>
      <c r="DW12" s="80"/>
    </row>
    <row r="13" spans="1:127" s="8" customFormat="1" x14ac:dyDescent="0.25">
      <c r="A13" s="10"/>
      <c r="B13" s="10"/>
      <c r="C13" s="10"/>
      <c r="D13" s="10"/>
      <c r="E13" s="30"/>
      <c r="F13" s="30"/>
      <c r="G13" s="32"/>
      <c r="H13" s="30"/>
      <c r="I13" s="32"/>
      <c r="J13" s="115"/>
      <c r="K13" s="10"/>
      <c r="L13" s="10"/>
      <c r="M13" s="10"/>
      <c r="N13" s="10"/>
      <c r="O13" s="10"/>
      <c r="P13" s="10"/>
      <c r="Q13" s="56" t="s">
        <v>796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DV13" s="80"/>
      <c r="DW13" s="80"/>
    </row>
    <row r="14" spans="1:127" s="8" customFormat="1" x14ac:dyDescent="0.25">
      <c r="A14" s="10"/>
      <c r="B14" s="10"/>
      <c r="C14" s="10"/>
      <c r="D14" s="10"/>
      <c r="E14" s="30"/>
      <c r="F14" s="30"/>
      <c r="G14" s="32"/>
      <c r="H14" s="30"/>
      <c r="I14" s="32"/>
      <c r="J14" s="115"/>
      <c r="K14" s="10"/>
      <c r="L14" s="10"/>
      <c r="M14" s="10"/>
      <c r="N14" s="10"/>
      <c r="O14" s="10"/>
      <c r="P14" s="10"/>
      <c r="Q14" s="56" t="s">
        <v>797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DV14" s="80"/>
      <c r="DW14" s="80"/>
    </row>
    <row r="15" spans="1:127" s="8" customFormat="1" x14ac:dyDescent="0.25">
      <c r="A15" s="10"/>
      <c r="B15" s="10"/>
      <c r="C15" s="10"/>
      <c r="D15" s="10"/>
      <c r="E15" s="30"/>
      <c r="F15" s="30"/>
      <c r="G15" s="32"/>
      <c r="H15" s="30"/>
      <c r="I15" s="32"/>
      <c r="J15" s="115"/>
      <c r="K15" s="10"/>
      <c r="L15" s="10"/>
      <c r="M15" s="10"/>
      <c r="N15" s="10"/>
      <c r="O15" s="10"/>
      <c r="P15" s="10"/>
      <c r="Q15" s="56" t="s">
        <v>798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DV15" s="80"/>
      <c r="DW15" s="80"/>
    </row>
    <row r="16" spans="1:127" s="8" customFormat="1" x14ac:dyDescent="0.25">
      <c r="A16" s="10"/>
      <c r="B16" s="10"/>
      <c r="C16" s="10"/>
      <c r="D16" s="10"/>
      <c r="E16" s="30"/>
      <c r="F16" s="30"/>
      <c r="G16" s="32"/>
      <c r="H16" s="30"/>
      <c r="I16" s="32"/>
      <c r="J16" s="115"/>
      <c r="K16" s="10"/>
      <c r="L16" s="10"/>
      <c r="M16" s="10"/>
      <c r="N16" s="10"/>
      <c r="O16" s="10"/>
      <c r="P16" s="10"/>
      <c r="Q16" s="56" t="s">
        <v>799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DV16" s="80"/>
      <c r="DW16" s="80"/>
    </row>
    <row r="17" spans="1:127" s="8" customFormat="1" x14ac:dyDescent="0.25">
      <c r="A17" s="10"/>
      <c r="B17" s="10"/>
      <c r="C17" s="10"/>
      <c r="D17" s="10"/>
      <c r="E17" s="30"/>
      <c r="F17" s="30"/>
      <c r="G17" s="32"/>
      <c r="H17" s="30"/>
      <c r="I17" s="32"/>
      <c r="J17" s="115"/>
      <c r="K17" s="10"/>
      <c r="L17" s="10"/>
      <c r="M17" s="10"/>
      <c r="N17" s="10"/>
      <c r="O17" s="10"/>
      <c r="P17" s="10"/>
      <c r="Q17" s="57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DV17" s="80"/>
      <c r="DW17" s="80"/>
    </row>
    <row r="18" spans="1:127" s="8" customFormat="1" x14ac:dyDescent="0.25">
      <c r="A18" s="10"/>
      <c r="B18" s="10"/>
      <c r="C18" s="10"/>
      <c r="D18" s="10"/>
      <c r="E18" s="30"/>
      <c r="F18" s="30"/>
      <c r="G18" s="32"/>
      <c r="H18" s="30"/>
      <c r="I18" s="32"/>
      <c r="J18" s="115"/>
      <c r="K18" s="10"/>
      <c r="L18" s="10"/>
      <c r="M18" s="10"/>
      <c r="N18" s="10"/>
      <c r="O18" s="10"/>
      <c r="P18" s="10"/>
      <c r="Q18" s="54" t="s">
        <v>800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DV18" s="80"/>
      <c r="DW18" s="80"/>
    </row>
    <row r="19" spans="1:127" s="8" customFormat="1" x14ac:dyDescent="0.25">
      <c r="A19" s="10"/>
      <c r="B19" s="10"/>
      <c r="C19" s="10"/>
      <c r="D19" s="10"/>
      <c r="E19" s="30"/>
      <c r="F19" s="30"/>
      <c r="G19" s="32"/>
      <c r="H19" s="30"/>
      <c r="I19" s="32"/>
      <c r="J19" s="115"/>
      <c r="K19" s="10"/>
      <c r="L19" s="10"/>
      <c r="M19" s="10"/>
      <c r="N19" s="10"/>
      <c r="O19" s="10"/>
      <c r="P19" s="10"/>
      <c r="Q19" s="56" t="s">
        <v>801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DV19" s="80"/>
      <c r="DW19" s="80"/>
    </row>
    <row r="20" spans="1:127" s="8" customFormat="1" x14ac:dyDescent="0.25">
      <c r="A20" s="10"/>
      <c r="B20" s="10"/>
      <c r="C20" s="10"/>
      <c r="D20" s="10"/>
      <c r="E20" s="30"/>
      <c r="F20" s="30"/>
      <c r="G20" s="32"/>
      <c r="H20" s="30"/>
      <c r="I20" s="32"/>
      <c r="J20" s="115"/>
      <c r="K20" s="10"/>
      <c r="L20" s="10"/>
      <c r="M20" s="10"/>
      <c r="N20" s="10"/>
      <c r="O20" s="10"/>
      <c r="P20" s="10"/>
      <c r="Q20" s="56" t="s">
        <v>802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DV20" s="80"/>
      <c r="DW20" s="80"/>
    </row>
    <row r="21" spans="1:127" s="8" customFormat="1" x14ac:dyDescent="0.25">
      <c r="A21" s="10"/>
      <c r="B21" s="10"/>
      <c r="C21" s="10"/>
      <c r="D21" s="10"/>
      <c r="E21" s="30"/>
      <c r="F21" s="30"/>
      <c r="G21" s="32"/>
      <c r="H21" s="30"/>
      <c r="I21" s="32"/>
      <c r="J21" s="115"/>
      <c r="K21" s="10"/>
      <c r="L21" s="10"/>
      <c r="M21" s="10"/>
      <c r="N21" s="10"/>
      <c r="O21" s="10"/>
      <c r="P21" s="10"/>
      <c r="Q21" s="56" t="s">
        <v>803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DV21" s="80"/>
      <c r="DW21" s="80"/>
    </row>
    <row r="22" spans="1:127" s="8" customFormat="1" x14ac:dyDescent="0.25">
      <c r="A22" s="10"/>
      <c r="B22" s="10"/>
      <c r="C22" s="10"/>
      <c r="D22" s="10"/>
      <c r="E22" s="30"/>
      <c r="F22" s="30"/>
      <c r="G22" s="32"/>
      <c r="H22" s="30"/>
      <c r="I22" s="32"/>
      <c r="J22" s="115"/>
      <c r="K22" s="10"/>
      <c r="L22" s="10"/>
      <c r="M22" s="10"/>
      <c r="N22" s="10"/>
      <c r="O22" s="10"/>
      <c r="P22" s="10"/>
      <c r="Q22" s="6" t="s">
        <v>804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DV22" s="80"/>
      <c r="DW22" s="80"/>
    </row>
    <row r="23" spans="1:127" s="8" customFormat="1" x14ac:dyDescent="0.25">
      <c r="A23" s="10"/>
      <c r="B23" s="10"/>
      <c r="C23" s="10"/>
      <c r="D23" s="10"/>
      <c r="E23" s="30"/>
      <c r="F23" s="30"/>
      <c r="G23" s="32"/>
      <c r="H23" s="30"/>
      <c r="I23" s="32"/>
      <c r="J23" s="115"/>
      <c r="K23" s="10"/>
      <c r="L23" s="10"/>
      <c r="M23" s="10"/>
      <c r="N23" s="10"/>
      <c r="O23" s="10"/>
      <c r="P23" s="10"/>
      <c r="Q23" s="56" t="s">
        <v>805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DV23" s="80"/>
      <c r="DW23" s="80"/>
    </row>
    <row r="24" spans="1:127" s="8" customFormat="1" x14ac:dyDescent="0.25">
      <c r="A24" s="10"/>
      <c r="B24" s="10"/>
      <c r="C24" s="10"/>
      <c r="D24" s="10"/>
      <c r="E24" s="30"/>
      <c r="F24" s="30"/>
      <c r="G24" s="32"/>
      <c r="H24" s="30"/>
      <c r="I24" s="32"/>
      <c r="J24" s="115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DV24" s="80"/>
      <c r="DW24" s="80"/>
    </row>
    <row r="25" spans="1:127" s="8" customFormat="1" x14ac:dyDescent="0.25">
      <c r="A25" s="10"/>
      <c r="B25" s="10"/>
      <c r="C25" s="10"/>
      <c r="D25" s="10"/>
      <c r="E25" s="30"/>
      <c r="F25" s="30"/>
      <c r="G25" s="32"/>
      <c r="H25" s="30"/>
      <c r="I25" s="32"/>
      <c r="J25" s="115"/>
      <c r="K25" s="10"/>
      <c r="L25" s="10"/>
      <c r="M25" s="10"/>
      <c r="N25" s="10"/>
      <c r="O25" s="10"/>
      <c r="P25" s="10"/>
      <c r="Q25" s="5" t="s">
        <v>806</v>
      </c>
      <c r="R25" s="4"/>
      <c r="S25" s="4"/>
      <c r="T25" s="4"/>
      <c r="U25" s="4"/>
      <c r="V25" s="4"/>
      <c r="W25" s="114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DV25" s="80"/>
      <c r="DW25" s="80"/>
    </row>
    <row r="26" spans="1:127" s="8" customFormat="1" x14ac:dyDescent="0.25">
      <c r="A26" s="10"/>
      <c r="B26" s="10"/>
      <c r="C26" s="10"/>
      <c r="D26" s="10"/>
      <c r="E26" s="30"/>
      <c r="F26" s="30"/>
      <c r="G26" s="32"/>
      <c r="H26" s="30"/>
      <c r="I26" s="32"/>
      <c r="J26" s="115"/>
      <c r="K26" s="10"/>
      <c r="L26" s="10"/>
      <c r="M26" s="10"/>
      <c r="N26" s="10"/>
      <c r="O26" s="10"/>
      <c r="P26" s="10"/>
      <c r="Q26" s="4" t="s">
        <v>518</v>
      </c>
      <c r="R26" s="4"/>
      <c r="S26" s="4"/>
      <c r="T26" s="4"/>
      <c r="U26" s="4"/>
      <c r="V26" s="4"/>
      <c r="W26" s="114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DV26" s="80"/>
      <c r="DW26" s="80"/>
    </row>
    <row r="27" spans="1:127" s="8" customFormat="1" x14ac:dyDescent="0.25">
      <c r="A27" s="10"/>
      <c r="B27" s="10"/>
      <c r="C27" s="10"/>
      <c r="D27" s="10"/>
      <c r="E27" s="30"/>
      <c r="F27" s="30"/>
      <c r="G27" s="32"/>
      <c r="H27" s="30"/>
      <c r="I27" s="32"/>
      <c r="J27" s="115"/>
      <c r="K27" s="10"/>
      <c r="L27" s="10"/>
      <c r="M27" s="10"/>
      <c r="N27" s="10"/>
      <c r="O27" s="10"/>
      <c r="P27" s="10"/>
      <c r="Q27" s="4" t="s">
        <v>807</v>
      </c>
      <c r="R27" s="4"/>
      <c r="S27" s="4"/>
      <c r="T27" s="4"/>
      <c r="U27" s="4"/>
      <c r="V27" s="4"/>
      <c r="W27" s="114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DV27" s="80"/>
      <c r="DW27" s="80"/>
    </row>
    <row r="28" spans="1:127" s="8" customFormat="1" x14ac:dyDescent="0.25">
      <c r="A28" s="10"/>
      <c r="B28" s="10"/>
      <c r="C28" s="10"/>
      <c r="D28" s="10"/>
      <c r="E28" s="30"/>
      <c r="F28" s="30"/>
      <c r="G28" s="32"/>
      <c r="H28" s="30"/>
      <c r="I28" s="32"/>
      <c r="J28" s="115"/>
      <c r="K28" s="10"/>
      <c r="L28" s="10"/>
      <c r="M28" s="10"/>
      <c r="N28" s="10"/>
      <c r="O28" s="10"/>
      <c r="P28" s="10"/>
      <c r="Q28" s="4" t="s">
        <v>808</v>
      </c>
      <c r="R28" s="4"/>
      <c r="S28" s="4"/>
      <c r="T28" s="4"/>
      <c r="U28" s="4"/>
      <c r="V28" s="4"/>
      <c r="W28" s="114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DV28" s="80"/>
      <c r="DW28" s="80"/>
    </row>
    <row r="29" spans="1:127" s="8" customFormat="1" x14ac:dyDescent="0.25">
      <c r="A29" s="10"/>
      <c r="B29" s="10"/>
      <c r="C29" s="10"/>
      <c r="D29" s="10"/>
      <c r="E29" s="30"/>
      <c r="F29" s="30"/>
      <c r="G29" s="32"/>
      <c r="H29" s="30"/>
      <c r="I29" s="32"/>
      <c r="J29" s="115"/>
      <c r="K29" s="10"/>
      <c r="L29" s="10"/>
      <c r="M29" s="10"/>
      <c r="N29" s="10"/>
      <c r="O29" s="10"/>
      <c r="P29" s="10"/>
      <c r="Q29" s="10" t="s">
        <v>59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DV29" s="80"/>
      <c r="DW29" s="80"/>
    </row>
    <row r="30" spans="1:127" s="8" customFormat="1" x14ac:dyDescent="0.25">
      <c r="A30" s="10"/>
      <c r="B30" s="10"/>
      <c r="C30" s="10"/>
      <c r="D30" s="10"/>
      <c r="E30" s="30"/>
      <c r="F30" s="30"/>
      <c r="G30" s="32"/>
      <c r="H30" s="30"/>
      <c r="I30" s="32"/>
      <c r="J30" s="115"/>
      <c r="K30" s="10"/>
      <c r="L30" s="10"/>
      <c r="M30" s="10"/>
      <c r="N30" s="10"/>
      <c r="O30" s="10"/>
      <c r="P30" s="10"/>
      <c r="Q30" s="10" t="s">
        <v>809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DV30" s="80"/>
      <c r="DW30" s="80"/>
    </row>
    <row r="31" spans="1:127" s="8" customFormat="1" x14ac:dyDescent="0.25">
      <c r="A31" s="10"/>
      <c r="B31" s="10"/>
      <c r="C31" s="10"/>
      <c r="D31" s="10"/>
      <c r="E31" s="30"/>
      <c r="F31" s="30"/>
      <c r="G31" s="32"/>
      <c r="H31" s="30"/>
      <c r="I31" s="32"/>
      <c r="J31" s="115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DV31" s="80"/>
      <c r="DW31" s="80"/>
    </row>
    <row r="32" spans="1:127" s="8" customFormat="1" x14ac:dyDescent="0.25">
      <c r="A32" s="10"/>
      <c r="B32" s="10"/>
      <c r="C32" s="10"/>
      <c r="D32" s="10"/>
      <c r="E32" s="30"/>
      <c r="F32" s="30"/>
      <c r="G32" s="32"/>
      <c r="H32" s="30"/>
      <c r="I32" s="32"/>
      <c r="J32" s="115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DV32" s="80"/>
      <c r="DW32" s="80"/>
    </row>
    <row r="33" spans="1:127" s="8" customFormat="1" x14ac:dyDescent="0.25">
      <c r="A33" s="10"/>
      <c r="B33" s="10"/>
      <c r="C33" s="10"/>
      <c r="D33" s="10"/>
      <c r="E33" s="30"/>
      <c r="F33" s="30"/>
      <c r="G33" s="32"/>
      <c r="H33" s="30"/>
      <c r="I33" s="32"/>
      <c r="J33" s="115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DV33" s="80"/>
      <c r="DW33" s="80"/>
    </row>
    <row r="34" spans="1:127" s="8" customFormat="1" x14ac:dyDescent="0.25">
      <c r="A34" s="10"/>
      <c r="B34" s="10"/>
      <c r="C34" s="10"/>
      <c r="D34" s="10"/>
      <c r="E34" s="30"/>
      <c r="F34" s="30"/>
      <c r="G34" s="32"/>
      <c r="H34" s="30"/>
      <c r="I34" s="32"/>
      <c r="J34" s="115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DV34" s="80"/>
      <c r="DW34" s="80"/>
    </row>
    <row r="35" spans="1:127" s="8" customFormat="1" x14ac:dyDescent="0.25">
      <c r="A35" s="10"/>
      <c r="B35" s="10"/>
      <c r="C35" s="10"/>
      <c r="D35" s="10"/>
      <c r="E35" s="30"/>
      <c r="F35" s="30"/>
      <c r="G35" s="32"/>
      <c r="H35" s="30"/>
      <c r="I35" s="32"/>
      <c r="J35" s="115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DV35" s="80"/>
      <c r="DW35" s="80"/>
    </row>
    <row r="36" spans="1:127" s="8" customFormat="1" x14ac:dyDescent="0.25">
      <c r="A36" s="10"/>
      <c r="B36" s="10"/>
      <c r="C36" s="10"/>
      <c r="D36" s="10"/>
      <c r="E36" s="30"/>
      <c r="F36" s="30"/>
      <c r="G36" s="32"/>
      <c r="H36" s="30"/>
      <c r="I36" s="32"/>
      <c r="J36" s="115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DV36" s="80"/>
      <c r="DW36" s="80"/>
    </row>
    <row r="37" spans="1:127" s="8" customFormat="1" x14ac:dyDescent="0.25">
      <c r="A37" s="10"/>
      <c r="B37" s="10"/>
      <c r="C37" s="10"/>
      <c r="D37" s="10"/>
      <c r="E37" s="30"/>
      <c r="F37" s="30"/>
      <c r="G37" s="32"/>
      <c r="H37" s="30"/>
      <c r="I37" s="32"/>
      <c r="J37" s="115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DV37" s="80"/>
      <c r="DW37" s="80"/>
    </row>
    <row r="38" spans="1:127" s="8" customFormat="1" x14ac:dyDescent="0.25">
      <c r="A38" s="10"/>
      <c r="B38" s="10"/>
      <c r="C38" s="10"/>
      <c r="D38" s="10"/>
      <c r="E38" s="30"/>
      <c r="F38" s="30"/>
      <c r="G38" s="32"/>
      <c r="H38" s="30"/>
      <c r="I38" s="32"/>
      <c r="J38" s="115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DV38" s="80"/>
      <c r="DW38" s="80"/>
    </row>
    <row r="39" spans="1:127" s="8" customFormat="1" x14ac:dyDescent="0.25">
      <c r="A39" s="10"/>
      <c r="B39" s="10"/>
      <c r="C39" s="10"/>
      <c r="D39" s="10"/>
      <c r="E39" s="30"/>
      <c r="F39" s="30"/>
      <c r="G39" s="32"/>
      <c r="H39" s="30"/>
      <c r="I39" s="32"/>
      <c r="J39" s="115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DV39" s="80"/>
      <c r="DW39" s="80"/>
    </row>
    <row r="40" spans="1:127" s="8" customFormat="1" x14ac:dyDescent="0.25">
      <c r="A40" s="10"/>
      <c r="B40" s="10"/>
      <c r="C40" s="10"/>
      <c r="D40" s="10"/>
      <c r="E40" s="30"/>
      <c r="F40" s="30"/>
      <c r="G40" s="32"/>
      <c r="H40" s="30"/>
      <c r="I40" s="32"/>
      <c r="J40" s="115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DV40" s="80"/>
      <c r="DW40" s="80"/>
    </row>
    <row r="41" spans="1:127" s="8" customFormat="1" x14ac:dyDescent="0.25">
      <c r="A41" s="10"/>
      <c r="B41" s="10"/>
      <c r="C41" s="10"/>
      <c r="D41" s="10"/>
      <c r="E41" s="30"/>
      <c r="F41" s="30"/>
      <c r="G41" s="32"/>
      <c r="H41" s="30"/>
      <c r="I41" s="32"/>
      <c r="J41" s="115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DV41" s="80"/>
      <c r="DW41" s="80"/>
    </row>
    <row r="42" spans="1:127" s="8" customFormat="1" x14ac:dyDescent="0.25">
      <c r="A42" s="10"/>
      <c r="B42" s="10"/>
      <c r="C42" s="10"/>
      <c r="D42" s="10"/>
      <c r="E42" s="30"/>
      <c r="F42" s="30"/>
      <c r="G42" s="32"/>
      <c r="H42" s="30"/>
      <c r="I42" s="32"/>
      <c r="J42" s="115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DV42" s="80"/>
      <c r="DW42" s="80"/>
    </row>
    <row r="43" spans="1:127" s="8" customFormat="1" x14ac:dyDescent="0.25">
      <c r="A43" s="10"/>
      <c r="B43" s="10"/>
      <c r="C43" s="10"/>
      <c r="D43" s="10"/>
      <c r="E43" s="30"/>
      <c r="F43" s="30"/>
      <c r="G43" s="32"/>
      <c r="H43" s="30"/>
      <c r="I43" s="32"/>
      <c r="J43" s="115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DV43" s="80"/>
      <c r="DW43" s="80"/>
    </row>
    <row r="44" spans="1:127" s="8" customFormat="1" x14ac:dyDescent="0.25">
      <c r="A44" s="10"/>
      <c r="B44" s="10"/>
      <c r="C44" s="10"/>
      <c r="D44" s="10"/>
      <c r="E44" s="30"/>
      <c r="F44" s="30"/>
      <c r="G44" s="32"/>
      <c r="H44" s="30"/>
      <c r="I44" s="32"/>
      <c r="J44" s="115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DV44" s="80"/>
      <c r="DW44" s="80"/>
    </row>
    <row r="45" spans="1:127" s="8" customFormat="1" x14ac:dyDescent="0.25">
      <c r="A45" s="10"/>
      <c r="B45" s="10"/>
      <c r="C45" s="10"/>
      <c r="D45" s="10"/>
      <c r="E45" s="30"/>
      <c r="F45" s="30"/>
      <c r="G45" s="32"/>
      <c r="H45" s="30"/>
      <c r="I45" s="32"/>
      <c r="J45" s="115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DV45" s="80"/>
      <c r="DW45" s="80"/>
    </row>
    <row r="46" spans="1:127" s="8" customFormat="1" x14ac:dyDescent="0.25">
      <c r="A46" s="10"/>
      <c r="B46" s="10"/>
      <c r="C46" s="10"/>
      <c r="D46" s="10"/>
      <c r="E46" s="30"/>
      <c r="F46" s="30"/>
      <c r="G46" s="32"/>
      <c r="H46" s="30"/>
      <c r="I46" s="32"/>
      <c r="J46" s="115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DV46" s="80"/>
      <c r="DW46" s="80"/>
    </row>
    <row r="47" spans="1:127" s="8" customFormat="1" x14ac:dyDescent="0.25">
      <c r="A47" s="10"/>
      <c r="B47" s="10"/>
      <c r="C47" s="10"/>
      <c r="D47" s="10"/>
      <c r="E47" s="30"/>
      <c r="F47" s="30"/>
      <c r="G47" s="32"/>
      <c r="H47" s="30"/>
      <c r="I47" s="32"/>
      <c r="J47" s="115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DV47" s="80"/>
      <c r="DW47" s="80"/>
    </row>
    <row r="48" spans="1:127" s="8" customFormat="1" x14ac:dyDescent="0.25">
      <c r="A48" s="10"/>
      <c r="B48" s="10"/>
      <c r="C48" s="10"/>
      <c r="D48" s="10"/>
      <c r="E48" s="30"/>
      <c r="F48" s="30"/>
      <c r="G48" s="32"/>
      <c r="H48" s="30"/>
      <c r="I48" s="32"/>
      <c r="J48" s="115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DV48" s="80"/>
      <c r="DW48" s="80"/>
    </row>
    <row r="49" spans="1:127" s="8" customFormat="1" x14ac:dyDescent="0.25">
      <c r="A49" s="10"/>
      <c r="B49" s="10"/>
      <c r="C49" s="10"/>
      <c r="D49" s="10"/>
      <c r="E49" s="30"/>
      <c r="F49" s="30"/>
      <c r="G49" s="32"/>
      <c r="H49" s="30"/>
      <c r="I49" s="32"/>
      <c r="J49" s="115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DV49" s="80"/>
      <c r="DW49" s="80"/>
    </row>
    <row r="50" spans="1:127" s="8" customFormat="1" x14ac:dyDescent="0.25">
      <c r="A50" s="10"/>
      <c r="B50" s="10"/>
      <c r="C50" s="10"/>
      <c r="D50" s="10"/>
      <c r="E50" s="30"/>
      <c r="F50" s="30"/>
      <c r="G50" s="32"/>
      <c r="H50" s="30"/>
      <c r="I50" s="32"/>
      <c r="J50" s="115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DV50" s="80"/>
      <c r="DW50" s="80"/>
    </row>
    <row r="51" spans="1:127" s="8" customFormat="1" x14ac:dyDescent="0.25">
      <c r="A51" s="10"/>
      <c r="B51" s="10"/>
      <c r="C51" s="10"/>
      <c r="D51" s="10"/>
      <c r="E51" s="30"/>
      <c r="F51" s="30"/>
      <c r="G51" s="32"/>
      <c r="H51" s="30"/>
      <c r="I51" s="32"/>
      <c r="J51" s="115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DV51" s="80"/>
      <c r="DW51" s="80"/>
    </row>
    <row r="52" spans="1:127" s="8" customFormat="1" x14ac:dyDescent="0.25">
      <c r="A52" s="10"/>
      <c r="B52" s="10"/>
      <c r="C52" s="10"/>
      <c r="D52" s="10"/>
      <c r="E52" s="30"/>
      <c r="F52" s="30"/>
      <c r="G52" s="32"/>
      <c r="H52" s="30"/>
      <c r="I52" s="32"/>
      <c r="J52" s="115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DV52" s="80"/>
      <c r="DW52" s="80"/>
    </row>
    <row r="53" spans="1:127" s="8" customFormat="1" x14ac:dyDescent="0.25">
      <c r="A53" s="10"/>
      <c r="B53" s="10"/>
      <c r="C53" s="10"/>
      <c r="D53" s="10"/>
      <c r="E53" s="30"/>
      <c r="F53" s="30"/>
      <c r="G53" s="32"/>
      <c r="H53" s="30"/>
      <c r="I53" s="32"/>
      <c r="J53" s="115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DV53" s="80"/>
      <c r="DW53" s="80"/>
    </row>
    <row r="54" spans="1:127" s="8" customFormat="1" x14ac:dyDescent="0.25">
      <c r="A54" s="10"/>
      <c r="B54" s="10"/>
      <c r="C54" s="10"/>
      <c r="D54" s="10"/>
      <c r="E54" s="30"/>
      <c r="F54" s="30"/>
      <c r="G54" s="32"/>
      <c r="H54" s="30"/>
      <c r="I54" s="32"/>
      <c r="J54" s="115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DV54" s="80"/>
      <c r="DW54" s="80"/>
    </row>
    <row r="55" spans="1:127" s="8" customFormat="1" x14ac:dyDescent="0.25">
      <c r="A55" s="10"/>
      <c r="B55" s="10"/>
      <c r="C55" s="10"/>
      <c r="D55" s="10"/>
      <c r="E55" s="30"/>
      <c r="F55" s="30"/>
      <c r="G55" s="32"/>
      <c r="H55" s="30"/>
      <c r="I55" s="32"/>
      <c r="J55" s="115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DV55" s="80"/>
      <c r="DW55" s="80"/>
    </row>
    <row r="56" spans="1:127" s="8" customFormat="1" x14ac:dyDescent="0.25">
      <c r="A56" s="10"/>
      <c r="B56" s="10"/>
      <c r="C56" s="10"/>
      <c r="D56" s="10"/>
      <c r="E56" s="30"/>
      <c r="F56" s="30"/>
      <c r="G56" s="32"/>
      <c r="H56" s="30"/>
      <c r="I56" s="32"/>
      <c r="J56" s="115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DV56" s="80"/>
      <c r="DW56" s="80"/>
    </row>
    <row r="57" spans="1:127" s="8" customFormat="1" x14ac:dyDescent="0.25">
      <c r="A57" s="10"/>
      <c r="B57" s="10"/>
      <c r="C57" s="10"/>
      <c r="D57" s="10"/>
      <c r="E57" s="30"/>
      <c r="F57" s="30"/>
      <c r="G57" s="32"/>
      <c r="H57" s="30"/>
      <c r="I57" s="32"/>
      <c r="J57" s="115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DV57" s="80"/>
      <c r="DW57" s="80"/>
    </row>
    <row r="58" spans="1:127" s="8" customFormat="1" x14ac:dyDescent="0.25">
      <c r="A58" s="10"/>
      <c r="B58" s="10"/>
      <c r="C58" s="10"/>
      <c r="D58" s="10"/>
      <c r="E58" s="30"/>
      <c r="F58" s="30"/>
      <c r="G58" s="32"/>
      <c r="H58" s="30"/>
      <c r="I58" s="32"/>
      <c r="J58" s="115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DV58" s="80"/>
      <c r="DW58" s="80"/>
    </row>
    <row r="59" spans="1:127" s="8" customFormat="1" x14ac:dyDescent="0.25">
      <c r="A59" s="10"/>
      <c r="B59" s="10"/>
      <c r="C59" s="10"/>
      <c r="D59" s="10"/>
      <c r="E59" s="30"/>
      <c r="F59" s="30"/>
      <c r="G59" s="32"/>
      <c r="H59" s="30"/>
      <c r="I59" s="32"/>
      <c r="J59" s="115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DV59" s="80"/>
      <c r="DW59" s="80"/>
    </row>
    <row r="60" spans="1:127" s="8" customFormat="1" x14ac:dyDescent="0.25">
      <c r="A60" s="10"/>
      <c r="B60" s="10"/>
      <c r="C60" s="10"/>
      <c r="D60" s="10"/>
      <c r="E60" s="30"/>
      <c r="F60" s="30"/>
      <c r="G60" s="32"/>
      <c r="H60" s="30"/>
      <c r="I60" s="32"/>
      <c r="J60" s="115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DV60" s="80"/>
      <c r="DW60" s="80"/>
    </row>
    <row r="61" spans="1:127" s="8" customFormat="1" x14ac:dyDescent="0.25">
      <c r="A61" s="10"/>
      <c r="B61" s="10"/>
      <c r="C61" s="10"/>
      <c r="D61" s="10"/>
      <c r="E61" s="30"/>
      <c r="F61" s="30"/>
      <c r="G61" s="32"/>
      <c r="H61" s="30"/>
      <c r="I61" s="32"/>
      <c r="J61" s="115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DV61" s="80"/>
      <c r="DW61" s="80"/>
    </row>
    <row r="62" spans="1:127" s="8" customFormat="1" x14ac:dyDescent="0.25">
      <c r="A62" s="10"/>
      <c r="B62" s="10"/>
      <c r="C62" s="10"/>
      <c r="D62" s="10"/>
      <c r="E62" s="30"/>
      <c r="F62" s="30"/>
      <c r="G62" s="32"/>
      <c r="H62" s="30"/>
      <c r="I62" s="32"/>
      <c r="J62" s="115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DV62" s="80"/>
      <c r="DW62" s="80"/>
    </row>
    <row r="63" spans="1:127" s="8" customFormat="1" x14ac:dyDescent="0.25">
      <c r="A63" s="10"/>
      <c r="B63" s="10"/>
      <c r="C63" s="10"/>
      <c r="D63" s="10"/>
      <c r="E63" s="30"/>
      <c r="F63" s="30"/>
      <c r="G63" s="32"/>
      <c r="H63" s="30"/>
      <c r="I63" s="32"/>
      <c r="J63" s="115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DV63" s="80"/>
      <c r="DW63" s="80"/>
    </row>
    <row r="64" spans="1:127" s="8" customFormat="1" x14ac:dyDescent="0.25">
      <c r="A64" s="10"/>
      <c r="B64" s="10"/>
      <c r="C64" s="10"/>
      <c r="D64" s="10"/>
      <c r="E64" s="30"/>
      <c r="F64" s="30"/>
      <c r="G64" s="32"/>
      <c r="H64" s="30"/>
      <c r="I64" s="32"/>
      <c r="J64" s="115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DV64" s="80"/>
      <c r="DW64" s="80"/>
    </row>
    <row r="65" spans="1:127" s="8" customFormat="1" x14ac:dyDescent="0.25">
      <c r="A65" s="10"/>
      <c r="B65" s="10"/>
      <c r="C65" s="10"/>
      <c r="D65" s="10"/>
      <c r="E65" s="30"/>
      <c r="F65" s="30"/>
      <c r="G65" s="32"/>
      <c r="H65" s="30"/>
      <c r="I65" s="32"/>
      <c r="J65" s="115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DV65" s="80"/>
      <c r="DW65" s="80"/>
    </row>
    <row r="66" spans="1:127" s="8" customFormat="1" x14ac:dyDescent="0.25">
      <c r="A66" s="10"/>
      <c r="B66" s="10"/>
      <c r="C66" s="10"/>
      <c r="D66" s="10"/>
      <c r="E66" s="30"/>
      <c r="F66" s="30"/>
      <c r="G66" s="32"/>
      <c r="H66" s="30"/>
      <c r="I66" s="32"/>
      <c r="J66" s="115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DV66" s="80"/>
      <c r="DW66" s="80"/>
    </row>
    <row r="67" spans="1:127" s="8" customFormat="1" x14ac:dyDescent="0.25">
      <c r="A67" s="10"/>
      <c r="B67" s="10"/>
      <c r="C67" s="10"/>
      <c r="D67" s="10"/>
      <c r="E67" s="30"/>
      <c r="F67" s="30"/>
      <c r="G67" s="32"/>
      <c r="H67" s="30"/>
      <c r="I67" s="32"/>
      <c r="J67" s="115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DV67" s="80"/>
      <c r="DW67" s="80"/>
    </row>
    <row r="68" spans="1:127" s="8" customFormat="1" x14ac:dyDescent="0.25">
      <c r="A68" s="10"/>
      <c r="B68" s="10"/>
      <c r="C68" s="10"/>
      <c r="D68" s="10"/>
      <c r="E68" s="30"/>
      <c r="F68" s="30"/>
      <c r="G68" s="32"/>
      <c r="H68" s="30"/>
      <c r="I68" s="32"/>
      <c r="J68" s="115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DV68" s="80"/>
      <c r="DW68" s="80"/>
    </row>
    <row r="69" spans="1:127" s="8" customFormat="1" x14ac:dyDescent="0.25">
      <c r="A69" s="10"/>
      <c r="B69" s="10"/>
      <c r="C69" s="10"/>
      <c r="D69" s="10"/>
      <c r="E69" s="30"/>
      <c r="F69" s="30"/>
      <c r="G69" s="32"/>
      <c r="H69" s="30"/>
      <c r="I69" s="32"/>
      <c r="J69" s="115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DV69" s="80"/>
      <c r="DW69" s="80"/>
    </row>
    <row r="70" spans="1:127" s="8" customFormat="1" x14ac:dyDescent="0.25">
      <c r="A70" s="10"/>
      <c r="B70" s="10"/>
      <c r="C70" s="10"/>
      <c r="D70" s="10"/>
      <c r="E70" s="30"/>
      <c r="F70" s="30"/>
      <c r="G70" s="32"/>
      <c r="H70" s="30"/>
      <c r="I70" s="32"/>
      <c r="J70" s="115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DV70" s="80"/>
      <c r="DW70" s="80"/>
    </row>
    <row r="71" spans="1:127" s="8" customFormat="1" x14ac:dyDescent="0.25">
      <c r="A71" s="10"/>
      <c r="B71" s="10"/>
      <c r="C71" s="10"/>
      <c r="D71" s="10"/>
      <c r="E71" s="30"/>
      <c r="F71" s="30"/>
      <c r="G71" s="32"/>
      <c r="H71" s="30"/>
      <c r="I71" s="32"/>
      <c r="J71" s="115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DV71" s="80"/>
      <c r="DW71" s="80"/>
    </row>
    <row r="72" spans="1:127" s="8" customFormat="1" x14ac:dyDescent="0.25">
      <c r="A72" s="10"/>
      <c r="B72" s="10"/>
      <c r="C72" s="10"/>
      <c r="D72" s="10"/>
      <c r="E72" s="30"/>
      <c r="F72" s="30"/>
      <c r="G72" s="32"/>
      <c r="H72" s="30"/>
      <c r="I72" s="32"/>
      <c r="J72" s="115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DV72" s="80"/>
      <c r="DW72" s="80"/>
    </row>
    <row r="73" spans="1:127" s="8" customFormat="1" x14ac:dyDescent="0.25">
      <c r="A73" s="10"/>
      <c r="B73" s="10"/>
      <c r="C73" s="10"/>
      <c r="D73" s="10"/>
      <c r="E73" s="30"/>
      <c r="F73" s="30"/>
      <c r="G73" s="32"/>
      <c r="H73" s="30"/>
      <c r="I73" s="32"/>
      <c r="J73" s="115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DV73" s="80"/>
      <c r="DW73" s="80"/>
    </row>
    <row r="74" spans="1:127" s="8" customFormat="1" x14ac:dyDescent="0.25">
      <c r="A74" s="10"/>
      <c r="B74" s="10"/>
      <c r="C74" s="10"/>
      <c r="D74" s="10"/>
      <c r="E74" s="30"/>
      <c r="F74" s="30"/>
      <c r="G74" s="32"/>
      <c r="H74" s="30"/>
      <c r="I74" s="32"/>
      <c r="J74" s="115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DV74" s="80"/>
      <c r="DW74" s="80"/>
    </row>
    <row r="75" spans="1:127" s="8" customFormat="1" x14ac:dyDescent="0.25">
      <c r="A75" s="10"/>
      <c r="B75" s="10"/>
      <c r="C75" s="10"/>
      <c r="D75" s="10"/>
      <c r="E75" s="30"/>
      <c r="F75" s="30"/>
      <c r="G75" s="32"/>
      <c r="H75" s="30"/>
      <c r="I75" s="32"/>
      <c r="J75" s="115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DV75" s="80"/>
      <c r="DW75" s="80"/>
    </row>
    <row r="76" spans="1:127" s="8" customFormat="1" x14ac:dyDescent="0.25">
      <c r="A76" s="10"/>
      <c r="B76" s="10"/>
      <c r="C76" s="10"/>
      <c r="D76" s="10"/>
      <c r="E76" s="30"/>
      <c r="F76" s="30"/>
      <c r="G76" s="32"/>
      <c r="H76" s="30"/>
      <c r="I76" s="32"/>
      <c r="J76" s="115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DV76" s="80"/>
      <c r="DW76" s="80"/>
    </row>
    <row r="77" spans="1:127" s="8" customFormat="1" x14ac:dyDescent="0.25">
      <c r="A77" s="10"/>
      <c r="B77" s="10"/>
      <c r="C77" s="10"/>
      <c r="D77" s="10"/>
      <c r="E77" s="30"/>
      <c r="F77" s="30"/>
      <c r="G77" s="32"/>
      <c r="H77" s="30"/>
      <c r="I77" s="32"/>
      <c r="J77" s="115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DV77" s="80"/>
      <c r="DW77" s="80"/>
    </row>
    <row r="78" spans="1:127" s="8" customFormat="1" x14ac:dyDescent="0.25">
      <c r="A78" s="10"/>
      <c r="B78" s="10"/>
      <c r="C78" s="10"/>
      <c r="D78" s="10"/>
      <c r="E78" s="30"/>
      <c r="F78" s="30"/>
      <c r="G78" s="32"/>
      <c r="H78" s="30"/>
      <c r="I78" s="32"/>
      <c r="J78" s="115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DV78" s="80"/>
      <c r="DW78" s="80"/>
    </row>
    <row r="79" spans="1:127" s="8" customFormat="1" x14ac:dyDescent="0.25">
      <c r="A79" s="10"/>
      <c r="B79" s="10"/>
      <c r="C79" s="10"/>
      <c r="D79" s="10"/>
      <c r="E79" s="30"/>
      <c r="F79" s="30"/>
      <c r="G79" s="32"/>
      <c r="H79" s="30"/>
      <c r="I79" s="32"/>
      <c r="J79" s="115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DV79" s="80"/>
      <c r="DW79" s="80"/>
    </row>
    <row r="80" spans="1:127" s="8" customFormat="1" x14ac:dyDescent="0.25">
      <c r="A80" s="10"/>
      <c r="B80" s="10"/>
      <c r="C80" s="10"/>
      <c r="D80" s="10"/>
      <c r="E80" s="30"/>
      <c r="F80" s="30"/>
      <c r="G80" s="32"/>
      <c r="H80" s="30"/>
      <c r="I80" s="32"/>
      <c r="J80" s="115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DV80" s="80"/>
      <c r="DW80" s="80"/>
    </row>
    <row r="81" spans="1:127" s="8" customFormat="1" x14ac:dyDescent="0.25">
      <c r="A81" s="10"/>
      <c r="B81" s="10"/>
      <c r="C81" s="10"/>
      <c r="D81" s="10"/>
      <c r="E81" s="30"/>
      <c r="F81" s="30"/>
      <c r="G81" s="32"/>
      <c r="H81" s="30"/>
      <c r="I81" s="32"/>
      <c r="J81" s="115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DV81" s="80"/>
      <c r="DW81" s="80"/>
    </row>
    <row r="82" spans="1:127" s="8" customFormat="1" x14ac:dyDescent="0.25">
      <c r="A82" s="10"/>
      <c r="B82" s="10"/>
      <c r="C82" s="10"/>
      <c r="D82" s="10"/>
      <c r="E82" s="30"/>
      <c r="F82" s="30"/>
      <c r="G82" s="32"/>
      <c r="H82" s="30"/>
      <c r="I82" s="32"/>
      <c r="J82" s="115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DV82" s="80"/>
      <c r="DW82" s="80"/>
    </row>
    <row r="83" spans="1:127" s="8" customFormat="1" x14ac:dyDescent="0.25">
      <c r="A83" s="10"/>
      <c r="B83" s="10"/>
      <c r="C83" s="10"/>
      <c r="D83" s="10"/>
      <c r="E83" s="30"/>
      <c r="F83" s="30"/>
      <c r="G83" s="32"/>
      <c r="H83" s="30"/>
      <c r="I83" s="32"/>
      <c r="J83" s="115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DV83" s="80"/>
      <c r="DW83" s="80"/>
    </row>
    <row r="84" spans="1:127" s="8" customFormat="1" x14ac:dyDescent="0.25">
      <c r="A84" s="10"/>
      <c r="B84" s="10"/>
      <c r="C84" s="10"/>
      <c r="D84" s="10"/>
      <c r="E84" s="30"/>
      <c r="F84" s="30"/>
      <c r="G84" s="32"/>
      <c r="H84" s="30"/>
      <c r="I84" s="32"/>
      <c r="J84" s="115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DV84" s="80"/>
      <c r="DW84" s="80"/>
    </row>
    <row r="85" spans="1:127" s="8" customFormat="1" x14ac:dyDescent="0.25">
      <c r="A85" s="10"/>
      <c r="B85" s="10"/>
      <c r="C85" s="10"/>
      <c r="D85" s="10"/>
      <c r="E85" s="30"/>
      <c r="F85" s="30"/>
      <c r="G85" s="32"/>
      <c r="H85" s="30"/>
      <c r="I85" s="32"/>
      <c r="J85" s="115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DV85" s="80"/>
      <c r="DW85" s="80"/>
    </row>
    <row r="86" spans="1:127" s="8" customFormat="1" x14ac:dyDescent="0.25">
      <c r="A86" s="10"/>
      <c r="B86" s="10"/>
      <c r="C86" s="10"/>
      <c r="D86" s="10"/>
      <c r="E86" s="30"/>
      <c r="F86" s="30"/>
      <c r="G86" s="32"/>
      <c r="H86" s="30"/>
      <c r="I86" s="32"/>
      <c r="J86" s="115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DV86" s="80"/>
      <c r="DW86" s="80"/>
    </row>
    <row r="87" spans="1:127" s="8" customFormat="1" x14ac:dyDescent="0.25">
      <c r="A87" s="10"/>
      <c r="B87" s="10"/>
      <c r="C87" s="10"/>
      <c r="D87" s="10"/>
      <c r="E87" s="30"/>
      <c r="F87" s="30"/>
      <c r="G87" s="32"/>
      <c r="H87" s="30"/>
      <c r="I87" s="32"/>
      <c r="J87" s="115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DV87" s="80"/>
      <c r="DW87" s="80"/>
    </row>
    <row r="88" spans="1:127" s="8" customFormat="1" x14ac:dyDescent="0.25">
      <c r="A88" s="10"/>
      <c r="B88" s="10"/>
      <c r="C88" s="10"/>
      <c r="D88" s="10"/>
      <c r="E88" s="30"/>
      <c r="F88" s="30"/>
      <c r="G88" s="32"/>
      <c r="H88" s="30"/>
      <c r="I88" s="32"/>
      <c r="J88" s="115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DV88" s="80"/>
      <c r="DW88" s="80"/>
    </row>
    <row r="89" spans="1:127" s="8" customFormat="1" x14ac:dyDescent="0.25">
      <c r="A89" s="10"/>
      <c r="B89" s="10"/>
      <c r="C89" s="10"/>
      <c r="D89" s="10"/>
      <c r="E89" s="30"/>
      <c r="F89" s="30"/>
      <c r="G89" s="32"/>
      <c r="H89" s="30"/>
      <c r="I89" s="32"/>
      <c r="J89" s="115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DV89" s="80"/>
      <c r="DW89" s="80"/>
    </row>
    <row r="90" spans="1:127" s="8" customFormat="1" x14ac:dyDescent="0.25">
      <c r="A90" s="10"/>
      <c r="B90" s="10"/>
      <c r="C90" s="10"/>
      <c r="D90" s="10"/>
      <c r="E90" s="30"/>
      <c r="F90" s="30"/>
      <c r="G90" s="32"/>
      <c r="H90" s="30"/>
      <c r="I90" s="32"/>
      <c r="J90" s="115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DV90" s="80"/>
      <c r="DW90" s="80"/>
    </row>
    <row r="91" spans="1:127" s="8" customFormat="1" x14ac:dyDescent="0.25">
      <c r="A91" s="10"/>
      <c r="B91" s="10"/>
      <c r="C91" s="10"/>
      <c r="D91" s="10"/>
      <c r="E91" s="30"/>
      <c r="F91" s="30"/>
      <c r="G91" s="32"/>
      <c r="H91" s="30"/>
      <c r="I91" s="32"/>
      <c r="J91" s="115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DV91" s="80"/>
      <c r="DW91" s="80"/>
    </row>
    <row r="92" spans="1:127" s="8" customFormat="1" x14ac:dyDescent="0.25">
      <c r="A92" s="10"/>
      <c r="B92" s="10"/>
      <c r="C92" s="10"/>
      <c r="D92" s="10"/>
      <c r="E92" s="30"/>
      <c r="F92" s="30"/>
      <c r="G92" s="32"/>
      <c r="H92" s="30"/>
      <c r="I92" s="32"/>
      <c r="J92" s="115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DV92" s="80"/>
      <c r="DW92" s="80"/>
    </row>
    <row r="93" spans="1:127" s="8" customFormat="1" x14ac:dyDescent="0.25">
      <c r="A93" s="10"/>
      <c r="B93" s="10"/>
      <c r="C93" s="10"/>
      <c r="D93" s="10"/>
      <c r="E93" s="30"/>
      <c r="F93" s="30"/>
      <c r="G93" s="32"/>
      <c r="H93" s="30"/>
      <c r="I93" s="32"/>
      <c r="J93" s="115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DV93" s="80"/>
      <c r="DW93" s="80"/>
    </row>
    <row r="94" spans="1:127" s="8" customFormat="1" x14ac:dyDescent="0.25">
      <c r="A94" s="10"/>
      <c r="B94" s="10"/>
      <c r="C94" s="10"/>
      <c r="D94" s="10"/>
      <c r="E94" s="30"/>
      <c r="F94" s="30"/>
      <c r="G94" s="32"/>
      <c r="H94" s="30"/>
      <c r="I94" s="32"/>
      <c r="J94" s="115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DV94" s="80"/>
      <c r="DW94" s="80"/>
    </row>
    <row r="95" spans="1:127" s="8" customFormat="1" x14ac:dyDescent="0.25">
      <c r="A95" s="10"/>
      <c r="B95" s="10"/>
      <c r="C95" s="10"/>
      <c r="D95" s="10"/>
      <c r="E95" s="30"/>
      <c r="F95" s="30"/>
      <c r="G95" s="32"/>
      <c r="H95" s="30"/>
      <c r="I95" s="32"/>
      <c r="J95" s="115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DV95" s="80"/>
      <c r="DW95" s="80"/>
    </row>
    <row r="96" spans="1:127" s="8" customFormat="1" x14ac:dyDescent="0.25">
      <c r="A96" s="10"/>
      <c r="B96" s="10"/>
      <c r="C96" s="10"/>
      <c r="D96" s="10"/>
      <c r="E96" s="30"/>
      <c r="F96" s="30"/>
      <c r="G96" s="32"/>
      <c r="H96" s="30"/>
      <c r="I96" s="32"/>
      <c r="J96" s="115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DV96" s="80"/>
      <c r="DW96" s="80"/>
    </row>
    <row r="97" spans="1:127" s="8" customFormat="1" x14ac:dyDescent="0.25">
      <c r="A97" s="10"/>
      <c r="B97" s="10"/>
      <c r="C97" s="10"/>
      <c r="D97" s="10"/>
      <c r="E97" s="30"/>
      <c r="F97" s="30"/>
      <c r="G97" s="32"/>
      <c r="H97" s="30"/>
      <c r="I97" s="32"/>
      <c r="J97" s="115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DV97" s="80"/>
      <c r="DW97" s="80"/>
    </row>
    <row r="98" spans="1:127" s="8" customFormat="1" x14ac:dyDescent="0.25">
      <c r="A98" s="10"/>
      <c r="B98" s="10"/>
      <c r="C98" s="10"/>
      <c r="D98" s="10"/>
      <c r="E98" s="30"/>
      <c r="F98" s="30"/>
      <c r="G98" s="32"/>
      <c r="H98" s="30"/>
      <c r="I98" s="32"/>
      <c r="J98" s="115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DV98" s="80"/>
      <c r="DW98" s="80"/>
    </row>
    <row r="99" spans="1:127" s="8" customFormat="1" x14ac:dyDescent="0.25">
      <c r="A99" s="10"/>
      <c r="B99" s="10"/>
      <c r="C99" s="10"/>
      <c r="D99" s="10"/>
      <c r="E99" s="30"/>
      <c r="F99" s="30"/>
      <c r="G99" s="32"/>
      <c r="H99" s="30"/>
      <c r="I99" s="32"/>
      <c r="J99" s="115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DV99" s="80"/>
      <c r="DW99" s="80"/>
    </row>
    <row r="100" spans="1:127" s="8" customFormat="1" x14ac:dyDescent="0.25">
      <c r="A100" s="10"/>
      <c r="B100" s="10"/>
      <c r="C100" s="10"/>
      <c r="D100" s="10"/>
      <c r="E100" s="30"/>
      <c r="F100" s="30"/>
      <c r="G100" s="32"/>
      <c r="H100" s="30"/>
      <c r="I100" s="32"/>
      <c r="J100" s="115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DV100" s="80"/>
      <c r="DW100" s="80"/>
    </row>
    <row r="101" spans="1:127" s="8" customFormat="1" x14ac:dyDescent="0.25">
      <c r="A101" s="10"/>
      <c r="B101" s="10"/>
      <c r="C101" s="10"/>
      <c r="D101" s="10"/>
      <c r="E101" s="30"/>
      <c r="F101" s="30"/>
      <c r="G101" s="32"/>
      <c r="H101" s="30"/>
      <c r="I101" s="32"/>
      <c r="J101" s="115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DV101" s="80"/>
      <c r="DW101" s="80"/>
    </row>
    <row r="102" spans="1:127" s="8" customFormat="1" x14ac:dyDescent="0.25">
      <c r="A102" s="10"/>
      <c r="B102" s="10"/>
      <c r="C102" s="10"/>
      <c r="D102" s="10"/>
      <c r="E102" s="30"/>
      <c r="F102" s="30"/>
      <c r="G102" s="32"/>
      <c r="H102" s="30"/>
      <c r="I102" s="32"/>
      <c r="J102" s="115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DV102" s="80"/>
      <c r="DW102" s="80"/>
    </row>
    <row r="103" spans="1:127" s="8" customFormat="1" x14ac:dyDescent="0.25">
      <c r="A103" s="10"/>
      <c r="B103" s="10"/>
      <c r="C103" s="10"/>
      <c r="D103" s="10"/>
      <c r="E103" s="30"/>
      <c r="F103" s="30"/>
      <c r="G103" s="32"/>
      <c r="H103" s="30"/>
      <c r="I103" s="32"/>
      <c r="J103" s="115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DV103" s="80"/>
      <c r="DW103" s="80"/>
    </row>
    <row r="104" spans="1:127" s="8" customFormat="1" x14ac:dyDescent="0.25">
      <c r="A104" s="10"/>
      <c r="B104" s="10"/>
      <c r="C104" s="10"/>
      <c r="D104" s="10"/>
      <c r="E104" s="30"/>
      <c r="F104" s="30"/>
      <c r="G104" s="32"/>
      <c r="H104" s="30"/>
      <c r="I104" s="32"/>
      <c r="J104" s="115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DV104" s="80"/>
      <c r="DW104" s="80"/>
    </row>
    <row r="105" spans="1:127" s="8" customFormat="1" x14ac:dyDescent="0.25">
      <c r="A105" s="10"/>
      <c r="B105" s="10"/>
      <c r="C105" s="10"/>
      <c r="D105" s="10"/>
      <c r="E105" s="30"/>
      <c r="F105" s="30"/>
      <c r="G105" s="32"/>
      <c r="H105" s="30"/>
      <c r="I105" s="32"/>
      <c r="J105" s="115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DV105" s="80"/>
      <c r="DW105" s="80"/>
    </row>
    <row r="106" spans="1:127" s="8" customFormat="1" x14ac:dyDescent="0.25">
      <c r="A106" s="10"/>
      <c r="B106" s="10"/>
      <c r="C106" s="10"/>
      <c r="D106" s="10"/>
      <c r="E106" s="30"/>
      <c r="F106" s="30"/>
      <c r="G106" s="32"/>
      <c r="H106" s="30"/>
      <c r="I106" s="32"/>
      <c r="J106" s="115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DV106" s="80"/>
      <c r="DW106" s="80"/>
    </row>
    <row r="107" spans="1:127" s="8" customFormat="1" x14ac:dyDescent="0.25">
      <c r="A107" s="10"/>
      <c r="B107" s="10"/>
      <c r="C107" s="10"/>
      <c r="D107" s="10"/>
      <c r="E107" s="30"/>
      <c r="F107" s="30"/>
      <c r="G107" s="32"/>
      <c r="H107" s="30"/>
      <c r="I107" s="32"/>
      <c r="J107" s="115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DV107" s="80"/>
      <c r="DW107" s="80"/>
    </row>
    <row r="108" spans="1:127" s="8" customFormat="1" x14ac:dyDescent="0.25">
      <c r="A108" s="10"/>
      <c r="B108" s="10"/>
      <c r="C108" s="10"/>
      <c r="D108" s="10"/>
      <c r="E108" s="30"/>
      <c r="F108" s="30"/>
      <c r="G108" s="32"/>
      <c r="H108" s="30"/>
      <c r="I108" s="32"/>
      <c r="J108" s="115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DV108" s="80"/>
      <c r="DW108" s="80"/>
    </row>
    <row r="109" spans="1:127" s="8" customFormat="1" x14ac:dyDescent="0.25">
      <c r="A109" s="10"/>
      <c r="B109" s="10"/>
      <c r="C109" s="10"/>
      <c r="D109" s="10"/>
      <c r="E109" s="30"/>
      <c r="F109" s="30"/>
      <c r="G109" s="32"/>
      <c r="H109" s="30"/>
      <c r="I109" s="32"/>
      <c r="J109" s="115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DV109" s="80"/>
      <c r="DW109" s="80"/>
    </row>
    <row r="110" spans="1:127" s="8" customFormat="1" x14ac:dyDescent="0.25">
      <c r="A110" s="10"/>
      <c r="B110" s="10"/>
      <c r="C110" s="10"/>
      <c r="D110" s="10"/>
      <c r="E110" s="30"/>
      <c r="F110" s="30"/>
      <c r="G110" s="32"/>
      <c r="H110" s="30"/>
      <c r="I110" s="32"/>
      <c r="J110" s="115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DV110" s="80"/>
      <c r="DW110" s="80"/>
    </row>
    <row r="111" spans="1:127" s="8" customFormat="1" x14ac:dyDescent="0.25">
      <c r="A111" s="10"/>
      <c r="B111" s="10"/>
      <c r="C111" s="10"/>
      <c r="D111" s="10"/>
      <c r="E111" s="30"/>
      <c r="F111" s="30"/>
      <c r="G111" s="32"/>
      <c r="H111" s="30"/>
      <c r="I111" s="32"/>
      <c r="J111" s="115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DV111" s="80"/>
      <c r="DW111" s="80"/>
    </row>
    <row r="112" spans="1:127" s="8" customFormat="1" x14ac:dyDescent="0.25">
      <c r="A112" s="10"/>
      <c r="B112" s="10"/>
      <c r="C112" s="10"/>
      <c r="D112" s="10"/>
      <c r="E112" s="30"/>
      <c r="F112" s="30"/>
      <c r="G112" s="32"/>
      <c r="H112" s="30"/>
      <c r="I112" s="32"/>
      <c r="J112" s="115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DV112" s="80"/>
      <c r="DW112" s="80"/>
    </row>
    <row r="113" spans="1:127" s="8" customFormat="1" x14ac:dyDescent="0.25">
      <c r="A113" s="10"/>
      <c r="B113" s="10"/>
      <c r="C113" s="10"/>
      <c r="D113" s="10"/>
      <c r="E113" s="30"/>
      <c r="F113" s="30"/>
      <c r="G113" s="32"/>
      <c r="H113" s="30"/>
      <c r="I113" s="32"/>
      <c r="J113" s="115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DV113" s="80"/>
      <c r="DW113" s="80"/>
    </row>
    <row r="114" spans="1:127" s="8" customFormat="1" x14ac:dyDescent="0.25">
      <c r="A114" s="10"/>
      <c r="B114" s="10"/>
      <c r="C114" s="10"/>
      <c r="D114" s="10"/>
      <c r="E114" s="30"/>
      <c r="F114" s="30"/>
      <c r="G114" s="32"/>
      <c r="H114" s="30"/>
      <c r="I114" s="32"/>
      <c r="J114" s="115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DV114" s="80"/>
      <c r="DW114" s="80"/>
    </row>
    <row r="115" spans="1:127" s="8" customFormat="1" x14ac:dyDescent="0.25">
      <c r="A115" s="10"/>
      <c r="B115" s="10"/>
      <c r="C115" s="10"/>
      <c r="D115" s="10"/>
      <c r="E115" s="30"/>
      <c r="F115" s="30"/>
      <c r="G115" s="32"/>
      <c r="H115" s="30"/>
      <c r="I115" s="32"/>
      <c r="J115" s="115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DV115" s="80"/>
      <c r="DW115" s="80"/>
    </row>
    <row r="116" spans="1:127" s="8" customFormat="1" x14ac:dyDescent="0.25">
      <c r="A116" s="10"/>
      <c r="B116" s="10"/>
      <c r="C116" s="10"/>
      <c r="D116" s="10"/>
      <c r="E116" s="30"/>
      <c r="F116" s="30"/>
      <c r="G116" s="32"/>
      <c r="H116" s="30"/>
      <c r="I116" s="32"/>
      <c r="J116" s="115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DV116" s="80"/>
      <c r="DW116" s="80"/>
    </row>
    <row r="117" spans="1:127" s="8" customFormat="1" x14ac:dyDescent="0.25">
      <c r="A117" s="10"/>
      <c r="B117" s="10"/>
      <c r="C117" s="10"/>
      <c r="D117" s="10"/>
      <c r="E117" s="30"/>
      <c r="F117" s="30"/>
      <c r="G117" s="32"/>
      <c r="H117" s="30"/>
      <c r="I117" s="32"/>
      <c r="J117" s="115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DV117" s="80"/>
      <c r="DW117" s="80"/>
    </row>
    <row r="118" spans="1:127" s="8" customFormat="1" x14ac:dyDescent="0.25">
      <c r="A118" s="10"/>
      <c r="B118" s="10"/>
      <c r="C118" s="10"/>
      <c r="D118" s="10"/>
      <c r="E118" s="30"/>
      <c r="F118" s="30"/>
      <c r="G118" s="32"/>
      <c r="H118" s="30"/>
      <c r="I118" s="32"/>
      <c r="J118" s="115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DV118" s="80"/>
      <c r="DW118" s="80"/>
    </row>
    <row r="119" spans="1:127" s="8" customFormat="1" x14ac:dyDescent="0.25">
      <c r="A119" s="10"/>
      <c r="B119" s="10"/>
      <c r="C119" s="10"/>
      <c r="D119" s="10"/>
      <c r="E119" s="30"/>
      <c r="F119" s="30"/>
      <c r="G119" s="32"/>
      <c r="H119" s="30"/>
      <c r="I119" s="32"/>
      <c r="J119" s="115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DV119" s="80"/>
      <c r="DW119" s="80"/>
    </row>
    <row r="120" spans="1:127" s="8" customFormat="1" x14ac:dyDescent="0.25">
      <c r="A120" s="10"/>
      <c r="B120" s="10"/>
      <c r="C120" s="10"/>
      <c r="D120" s="10"/>
      <c r="E120" s="30"/>
      <c r="F120" s="30"/>
      <c r="G120" s="32"/>
      <c r="H120" s="30"/>
      <c r="I120" s="32"/>
      <c r="J120" s="115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DV120" s="80"/>
      <c r="DW120" s="80"/>
    </row>
    <row r="121" spans="1:127" s="8" customFormat="1" x14ac:dyDescent="0.25">
      <c r="A121" s="10"/>
      <c r="B121" s="10"/>
      <c r="C121" s="10"/>
      <c r="D121" s="10"/>
      <c r="E121" s="30"/>
      <c r="F121" s="30"/>
      <c r="G121" s="32"/>
      <c r="H121" s="30"/>
      <c r="I121" s="32"/>
      <c r="J121" s="115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DV121" s="80"/>
      <c r="DW121" s="80"/>
    </row>
    <row r="122" spans="1:127" s="8" customFormat="1" x14ac:dyDescent="0.25">
      <c r="A122" s="10"/>
      <c r="B122" s="10"/>
      <c r="C122" s="10"/>
      <c r="D122" s="10"/>
      <c r="E122" s="30"/>
      <c r="F122" s="30"/>
      <c r="G122" s="32"/>
      <c r="H122" s="30"/>
      <c r="I122" s="32"/>
      <c r="J122" s="115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DV122" s="80"/>
      <c r="DW122" s="80"/>
    </row>
    <row r="123" spans="1:127" s="8" customFormat="1" x14ac:dyDescent="0.25">
      <c r="A123" s="10"/>
      <c r="B123" s="10"/>
      <c r="C123" s="10"/>
      <c r="D123" s="10"/>
      <c r="E123" s="30"/>
      <c r="F123" s="30"/>
      <c r="G123" s="32"/>
      <c r="H123" s="30"/>
      <c r="I123" s="32"/>
      <c r="J123" s="115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DV123" s="80"/>
      <c r="DW123" s="80"/>
    </row>
    <row r="124" spans="1:127" s="8" customFormat="1" x14ac:dyDescent="0.25">
      <c r="A124" s="10"/>
      <c r="B124" s="10"/>
      <c r="C124" s="10"/>
      <c r="D124" s="10"/>
      <c r="E124" s="30"/>
      <c r="F124" s="30"/>
      <c r="G124" s="32"/>
      <c r="H124" s="30"/>
      <c r="I124" s="32"/>
      <c r="J124" s="115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DV124" s="80"/>
      <c r="DW124" s="80"/>
    </row>
    <row r="125" spans="1:127" s="8" customFormat="1" x14ac:dyDescent="0.25">
      <c r="A125" s="10"/>
      <c r="B125" s="10"/>
      <c r="C125" s="10"/>
      <c r="D125" s="10"/>
      <c r="E125" s="30"/>
      <c r="F125" s="30"/>
      <c r="G125" s="32"/>
      <c r="H125" s="30"/>
      <c r="I125" s="32"/>
      <c r="J125" s="115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DV125" s="80"/>
      <c r="DW125" s="80"/>
    </row>
    <row r="126" spans="1:127" s="8" customFormat="1" x14ac:dyDescent="0.25">
      <c r="A126" s="10"/>
      <c r="B126" s="10"/>
      <c r="C126" s="10"/>
      <c r="D126" s="10"/>
      <c r="E126" s="30"/>
      <c r="F126" s="30"/>
      <c r="G126" s="32"/>
      <c r="H126" s="30"/>
      <c r="I126" s="32"/>
      <c r="J126" s="115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DV126" s="80"/>
      <c r="DW126" s="80"/>
    </row>
    <row r="127" spans="1:127" s="8" customFormat="1" x14ac:dyDescent="0.25">
      <c r="A127" s="10"/>
      <c r="B127" s="10"/>
      <c r="C127" s="10"/>
      <c r="D127" s="10"/>
      <c r="E127" s="30"/>
      <c r="F127" s="30"/>
      <c r="G127" s="32"/>
      <c r="H127" s="30"/>
      <c r="I127" s="32"/>
      <c r="J127" s="115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DV127" s="80"/>
      <c r="DW127" s="80"/>
    </row>
    <row r="128" spans="1:127" s="8" customFormat="1" x14ac:dyDescent="0.25">
      <c r="A128" s="10"/>
      <c r="B128" s="10"/>
      <c r="C128" s="10"/>
      <c r="D128" s="10"/>
      <c r="E128" s="30"/>
      <c r="F128" s="30"/>
      <c r="G128" s="32"/>
      <c r="H128" s="30"/>
      <c r="I128" s="32"/>
      <c r="J128" s="115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DV128" s="80"/>
      <c r="DW128" s="80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2"/>
  <sheetViews>
    <sheetView topLeftCell="A5" workbookViewId="0">
      <selection activeCell="C31" sqref="C31:D32"/>
    </sheetView>
  </sheetViews>
  <sheetFormatPr defaultRowHeight="15" x14ac:dyDescent="0.25"/>
  <cols>
    <col min="1" max="1" width="62.28515625" customWidth="1"/>
  </cols>
  <sheetData>
    <row r="1" spans="1:3" x14ac:dyDescent="0.25">
      <c r="A1" t="s">
        <v>24</v>
      </c>
      <c r="B1" t="s">
        <v>810</v>
      </c>
      <c r="C1">
        <v>3</v>
      </c>
    </row>
    <row r="2" spans="1:3" x14ac:dyDescent="0.25">
      <c r="A2" t="s">
        <v>82</v>
      </c>
      <c r="B2" t="s">
        <v>810</v>
      </c>
      <c r="C2">
        <v>4</v>
      </c>
    </row>
    <row r="3" spans="1:3" x14ac:dyDescent="0.25">
      <c r="A3" t="s">
        <v>84</v>
      </c>
      <c r="B3" t="s">
        <v>810</v>
      </c>
      <c r="C3">
        <v>3</v>
      </c>
    </row>
    <row r="4" spans="1:3" x14ac:dyDescent="0.25">
      <c r="A4" t="s">
        <v>28</v>
      </c>
      <c r="B4" t="s">
        <v>810</v>
      </c>
      <c r="C4">
        <v>3</v>
      </c>
    </row>
    <row r="5" spans="1:3" x14ac:dyDescent="0.25">
      <c r="A5" t="s">
        <v>811</v>
      </c>
      <c r="B5" t="s">
        <v>810</v>
      </c>
      <c r="C5">
        <v>2</v>
      </c>
    </row>
    <row r="6" spans="1:3" x14ac:dyDescent="0.25">
      <c r="A6" t="s">
        <v>361</v>
      </c>
      <c r="B6" t="s">
        <v>810</v>
      </c>
      <c r="C6">
        <v>5</v>
      </c>
    </row>
    <row r="7" spans="1:3" x14ac:dyDescent="0.25">
      <c r="A7" t="s">
        <v>365</v>
      </c>
      <c r="B7" t="s">
        <v>810</v>
      </c>
      <c r="C7">
        <v>3</v>
      </c>
    </row>
    <row r="8" spans="1:3" x14ac:dyDescent="0.25">
      <c r="A8" t="s">
        <v>31</v>
      </c>
      <c r="B8" t="s">
        <v>810</v>
      </c>
      <c r="C8">
        <v>3</v>
      </c>
    </row>
    <row r="9" spans="1:3" x14ac:dyDescent="0.25">
      <c r="A9" t="s">
        <v>106</v>
      </c>
      <c r="B9" t="s">
        <v>810</v>
      </c>
      <c r="C9">
        <v>1</v>
      </c>
    </row>
    <row r="10" spans="1:3" x14ac:dyDescent="0.25">
      <c r="A10" t="s">
        <v>103</v>
      </c>
      <c r="B10" t="s">
        <v>810</v>
      </c>
      <c r="C10">
        <v>5</v>
      </c>
    </row>
    <row r="11" spans="1:3" x14ac:dyDescent="0.25">
      <c r="A11" t="s">
        <v>89</v>
      </c>
      <c r="B11" t="s">
        <v>810</v>
      </c>
      <c r="C11">
        <v>4</v>
      </c>
    </row>
    <row r="12" spans="1:3" x14ac:dyDescent="0.25">
      <c r="A12" t="s">
        <v>390</v>
      </c>
      <c r="B12" t="s">
        <v>810</v>
      </c>
      <c r="C12">
        <v>3</v>
      </c>
    </row>
    <row r="13" spans="1:3" x14ac:dyDescent="0.25">
      <c r="A13" t="s">
        <v>44</v>
      </c>
      <c r="B13" t="s">
        <v>810</v>
      </c>
      <c r="C13">
        <v>4</v>
      </c>
    </row>
    <row r="14" spans="1:3" x14ac:dyDescent="0.25">
      <c r="A14" t="s">
        <v>109</v>
      </c>
      <c r="B14" t="s">
        <v>810</v>
      </c>
      <c r="C14">
        <v>6</v>
      </c>
    </row>
    <row r="15" spans="1:3" x14ac:dyDescent="0.25">
      <c r="A15" t="s">
        <v>168</v>
      </c>
      <c r="B15" t="s">
        <v>810</v>
      </c>
      <c r="C15">
        <v>3</v>
      </c>
    </row>
    <row r="16" spans="1:3" x14ac:dyDescent="0.25">
      <c r="A16" t="s">
        <v>404</v>
      </c>
      <c r="B16" t="s">
        <v>810</v>
      </c>
      <c r="C16">
        <v>9</v>
      </c>
    </row>
    <row r="17" spans="1:4" x14ac:dyDescent="0.25">
      <c r="A17" t="s">
        <v>130</v>
      </c>
      <c r="B17" t="s">
        <v>810</v>
      </c>
      <c r="C17">
        <v>6</v>
      </c>
    </row>
    <row r="18" spans="1:4" x14ac:dyDescent="0.25">
      <c r="A18" t="s">
        <v>133</v>
      </c>
      <c r="B18" t="s">
        <v>810</v>
      </c>
      <c r="C18">
        <v>5</v>
      </c>
    </row>
    <row r="19" spans="1:4" x14ac:dyDescent="0.25">
      <c r="A19" t="s">
        <v>154</v>
      </c>
      <c r="B19" t="s">
        <v>810</v>
      </c>
      <c r="C19">
        <v>3</v>
      </c>
    </row>
    <row r="20" spans="1:4" x14ac:dyDescent="0.25">
      <c r="A20" t="s">
        <v>62</v>
      </c>
      <c r="B20" t="s">
        <v>810</v>
      </c>
      <c r="C20">
        <v>3</v>
      </c>
    </row>
    <row r="21" spans="1:4" x14ac:dyDescent="0.25">
      <c r="A21" t="s">
        <v>422</v>
      </c>
      <c r="B21" t="s">
        <v>810</v>
      </c>
      <c r="C21">
        <v>3</v>
      </c>
    </row>
    <row r="22" spans="1:4" x14ac:dyDescent="0.25">
      <c r="A22" t="s">
        <v>170</v>
      </c>
      <c r="B22" t="s">
        <v>810</v>
      </c>
      <c r="C22">
        <v>3</v>
      </c>
    </row>
    <row r="23" spans="1:4" x14ac:dyDescent="0.25">
      <c r="A23" t="s">
        <v>118</v>
      </c>
      <c r="B23" t="s">
        <v>810</v>
      </c>
      <c r="C23">
        <v>5</v>
      </c>
    </row>
    <row r="24" spans="1:4" x14ac:dyDescent="0.25">
      <c r="A24" t="s">
        <v>156</v>
      </c>
      <c r="B24" t="s">
        <v>810</v>
      </c>
      <c r="C24">
        <v>2</v>
      </c>
    </row>
    <row r="25" spans="1:4" x14ac:dyDescent="0.25">
      <c r="A25" t="s">
        <v>139</v>
      </c>
      <c r="B25" t="s">
        <v>810</v>
      </c>
      <c r="C25">
        <v>3</v>
      </c>
    </row>
    <row r="26" spans="1:4" x14ac:dyDescent="0.25">
      <c r="A26" t="s">
        <v>439</v>
      </c>
      <c r="B26" t="s">
        <v>810</v>
      </c>
      <c r="C26">
        <v>2</v>
      </c>
    </row>
    <row r="27" spans="1:4" x14ac:dyDescent="0.25">
      <c r="A27" t="s">
        <v>427</v>
      </c>
      <c r="B27" t="s">
        <v>810</v>
      </c>
      <c r="C27">
        <v>3</v>
      </c>
    </row>
    <row r="28" spans="1:4" x14ac:dyDescent="0.25">
      <c r="A28" t="s">
        <v>448</v>
      </c>
      <c r="B28" t="s">
        <v>810</v>
      </c>
      <c r="C28">
        <v>2</v>
      </c>
    </row>
    <row r="29" spans="1:4" x14ac:dyDescent="0.25">
      <c r="A29" t="s">
        <v>538</v>
      </c>
      <c r="B29" t="s">
        <v>810</v>
      </c>
      <c r="C29">
        <v>10</v>
      </c>
    </row>
    <row r="31" spans="1:4" x14ac:dyDescent="0.25">
      <c r="C31">
        <f>SUM(C1:C29)</f>
        <v>111</v>
      </c>
      <c r="D31" t="s">
        <v>812</v>
      </c>
    </row>
    <row r="32" spans="1:4" x14ac:dyDescent="0.25">
      <c r="C32" s="68">
        <f>(C31/180)*100</f>
        <v>61.666666666666671</v>
      </c>
      <c r="D32" t="s">
        <v>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78"/>
  <sheetViews>
    <sheetView topLeftCell="A53" workbookViewId="0">
      <selection activeCell="E60" sqref="E60"/>
    </sheetView>
  </sheetViews>
  <sheetFormatPr defaultRowHeight="15" x14ac:dyDescent="0.25"/>
  <cols>
    <col min="1" max="1" width="62.28515625" customWidth="1"/>
  </cols>
  <sheetData>
    <row r="1" spans="1:2" x14ac:dyDescent="0.25">
      <c r="A1" t="s">
        <v>24</v>
      </c>
      <c r="B1">
        <v>3</v>
      </c>
    </row>
    <row r="2" spans="1:2" x14ac:dyDescent="0.25">
      <c r="A2" t="s">
        <v>82</v>
      </c>
      <c r="B2">
        <v>4</v>
      </c>
    </row>
    <row r="3" spans="1:2" x14ac:dyDescent="0.25">
      <c r="A3" t="s">
        <v>84</v>
      </c>
      <c r="B3">
        <v>3</v>
      </c>
    </row>
    <row r="4" spans="1:2" x14ac:dyDescent="0.25">
      <c r="A4" t="s">
        <v>28</v>
      </c>
      <c r="B4">
        <v>3</v>
      </c>
    </row>
    <row r="5" spans="1:2" x14ac:dyDescent="0.25">
      <c r="A5" t="s">
        <v>811</v>
      </c>
      <c r="B5">
        <v>2</v>
      </c>
    </row>
    <row r="6" spans="1:2" x14ac:dyDescent="0.25">
      <c r="A6" t="s">
        <v>361</v>
      </c>
      <c r="B6">
        <v>5</v>
      </c>
    </row>
    <row r="7" spans="1:2" x14ac:dyDescent="0.25">
      <c r="A7" t="s">
        <v>365</v>
      </c>
      <c r="B7">
        <v>3</v>
      </c>
    </row>
    <row r="8" spans="1:2" x14ac:dyDescent="0.25">
      <c r="A8" t="s">
        <v>372</v>
      </c>
      <c r="B8">
        <v>2</v>
      </c>
    </row>
    <row r="9" spans="1:2" x14ac:dyDescent="0.25">
      <c r="A9" t="s">
        <v>31</v>
      </c>
      <c r="B9">
        <v>3</v>
      </c>
    </row>
    <row r="10" spans="1:2" x14ac:dyDescent="0.25">
      <c r="A10" t="s">
        <v>106</v>
      </c>
      <c r="B10">
        <v>1</v>
      </c>
    </row>
    <row r="11" spans="1:2" x14ac:dyDescent="0.25">
      <c r="A11" t="s">
        <v>103</v>
      </c>
      <c r="B11">
        <v>5</v>
      </c>
    </row>
    <row r="12" spans="1:2" x14ac:dyDescent="0.25">
      <c r="A12" t="s">
        <v>89</v>
      </c>
      <c r="B12">
        <v>4</v>
      </c>
    </row>
    <row r="13" spans="1:2" x14ac:dyDescent="0.25">
      <c r="A13" t="s">
        <v>390</v>
      </c>
      <c r="B13">
        <v>3</v>
      </c>
    </row>
    <row r="14" spans="1:2" x14ac:dyDescent="0.25">
      <c r="A14" t="s">
        <v>44</v>
      </c>
      <c r="B14">
        <v>4</v>
      </c>
    </row>
    <row r="15" spans="1:2" x14ac:dyDescent="0.25">
      <c r="A15" t="s">
        <v>109</v>
      </c>
      <c r="B15">
        <v>6</v>
      </c>
    </row>
    <row r="16" spans="1:2" x14ac:dyDescent="0.25">
      <c r="A16" t="s">
        <v>153</v>
      </c>
      <c r="B16">
        <v>2</v>
      </c>
    </row>
    <row r="17" spans="1:2" x14ac:dyDescent="0.25">
      <c r="A17" t="s">
        <v>168</v>
      </c>
      <c r="B17">
        <v>3</v>
      </c>
    </row>
    <row r="18" spans="1:2" x14ac:dyDescent="0.25">
      <c r="A18" t="s">
        <v>404</v>
      </c>
      <c r="B18">
        <v>9</v>
      </c>
    </row>
    <row r="19" spans="1:2" x14ac:dyDescent="0.25">
      <c r="A19" t="s">
        <v>130</v>
      </c>
      <c r="B19">
        <v>6</v>
      </c>
    </row>
    <row r="20" spans="1:2" x14ac:dyDescent="0.25">
      <c r="A20" t="s">
        <v>133</v>
      </c>
      <c r="B20">
        <v>5</v>
      </c>
    </row>
    <row r="21" spans="1:2" x14ac:dyDescent="0.25">
      <c r="A21" t="s">
        <v>154</v>
      </c>
      <c r="B21">
        <v>3</v>
      </c>
    </row>
    <row r="22" spans="1:2" x14ac:dyDescent="0.25">
      <c r="A22" t="s">
        <v>62</v>
      </c>
      <c r="B22">
        <v>3</v>
      </c>
    </row>
    <row r="23" spans="1:2" x14ac:dyDescent="0.25">
      <c r="A23" t="s">
        <v>422</v>
      </c>
      <c r="B23">
        <v>3</v>
      </c>
    </row>
    <row r="24" spans="1:2" x14ac:dyDescent="0.25">
      <c r="A24" t="s">
        <v>172</v>
      </c>
      <c r="B24">
        <v>2</v>
      </c>
    </row>
    <row r="25" spans="1:2" x14ac:dyDescent="0.25">
      <c r="A25" t="s">
        <v>170</v>
      </c>
      <c r="B25">
        <v>3</v>
      </c>
    </row>
    <row r="26" spans="1:2" x14ac:dyDescent="0.25">
      <c r="A26" t="s">
        <v>118</v>
      </c>
      <c r="B26">
        <v>5</v>
      </c>
    </row>
    <row r="27" spans="1:2" x14ac:dyDescent="0.25">
      <c r="A27" t="s">
        <v>156</v>
      </c>
      <c r="B27">
        <v>2</v>
      </c>
    </row>
    <row r="28" spans="1:2" x14ac:dyDescent="0.25">
      <c r="A28" t="s">
        <v>139</v>
      </c>
      <c r="B28">
        <v>3</v>
      </c>
    </row>
    <row r="29" spans="1:2" x14ac:dyDescent="0.25">
      <c r="A29" t="s">
        <v>161</v>
      </c>
      <c r="B29">
        <v>1</v>
      </c>
    </row>
    <row r="30" spans="1:2" x14ac:dyDescent="0.25">
      <c r="A30" t="s">
        <v>67</v>
      </c>
      <c r="B30">
        <v>1</v>
      </c>
    </row>
    <row r="31" spans="1:2" x14ac:dyDescent="0.25">
      <c r="A31" t="s">
        <v>451</v>
      </c>
      <c r="B31">
        <v>4</v>
      </c>
    </row>
    <row r="32" spans="1:2" x14ac:dyDescent="0.25">
      <c r="A32" t="s">
        <v>160</v>
      </c>
      <c r="B32">
        <v>1</v>
      </c>
    </row>
    <row r="33" spans="1:2" x14ac:dyDescent="0.25">
      <c r="A33" t="s">
        <v>454</v>
      </c>
      <c r="B33">
        <v>2</v>
      </c>
    </row>
    <row r="34" spans="1:2" x14ac:dyDescent="0.25">
      <c r="A34" t="s">
        <v>137</v>
      </c>
      <c r="B34">
        <v>3</v>
      </c>
    </row>
    <row r="35" spans="1:2" x14ac:dyDescent="0.25">
      <c r="A35" t="s">
        <v>439</v>
      </c>
      <c r="B35">
        <v>2</v>
      </c>
    </row>
    <row r="36" spans="1:2" x14ac:dyDescent="0.25">
      <c r="A36" t="s">
        <v>427</v>
      </c>
      <c r="B36">
        <v>3</v>
      </c>
    </row>
    <row r="37" spans="1:2" x14ac:dyDescent="0.25">
      <c r="A37" t="s">
        <v>448</v>
      </c>
      <c r="B37">
        <v>2</v>
      </c>
    </row>
    <row r="38" spans="1:2" x14ac:dyDescent="0.25">
      <c r="A38" s="188" t="s">
        <v>465</v>
      </c>
      <c r="B38">
        <v>1</v>
      </c>
    </row>
    <row r="39" spans="1:2" x14ac:dyDescent="0.25">
      <c r="A39" t="s">
        <v>469</v>
      </c>
      <c r="B39">
        <v>2</v>
      </c>
    </row>
    <row r="40" spans="1:2" x14ac:dyDescent="0.25">
      <c r="A40" t="s">
        <v>474</v>
      </c>
      <c r="B40">
        <v>6</v>
      </c>
    </row>
    <row r="41" spans="1:2" x14ac:dyDescent="0.25">
      <c r="A41" t="s">
        <v>477</v>
      </c>
      <c r="B41">
        <v>0</v>
      </c>
    </row>
    <row r="42" spans="1:2" x14ac:dyDescent="0.25">
      <c r="A42" t="s">
        <v>481</v>
      </c>
      <c r="B42">
        <v>2</v>
      </c>
    </row>
    <row r="43" spans="1:2" x14ac:dyDescent="0.25">
      <c r="A43" t="s">
        <v>486</v>
      </c>
      <c r="B43">
        <v>2</v>
      </c>
    </row>
    <row r="44" spans="1:2" x14ac:dyDescent="0.25">
      <c r="A44" t="s">
        <v>491</v>
      </c>
      <c r="B44">
        <v>1</v>
      </c>
    </row>
    <row r="45" spans="1:2" x14ac:dyDescent="0.25">
      <c r="A45" t="s">
        <v>496</v>
      </c>
      <c r="B45">
        <v>3</v>
      </c>
    </row>
    <row r="46" spans="1:2" x14ac:dyDescent="0.25">
      <c r="A46" t="s">
        <v>503</v>
      </c>
      <c r="B46">
        <v>2</v>
      </c>
    </row>
    <row r="47" spans="1:2" x14ac:dyDescent="0.25">
      <c r="A47" t="s">
        <v>508</v>
      </c>
      <c r="B47">
        <v>2</v>
      </c>
    </row>
    <row r="48" spans="1:2" x14ac:dyDescent="0.25">
      <c r="A48" t="s">
        <v>515</v>
      </c>
      <c r="B48">
        <v>2</v>
      </c>
    </row>
    <row r="49" spans="1:2" x14ac:dyDescent="0.25">
      <c r="A49" t="s">
        <v>518</v>
      </c>
      <c r="B49">
        <v>2</v>
      </c>
    </row>
    <row r="50" spans="1:2" x14ac:dyDescent="0.25">
      <c r="A50" t="s">
        <v>520</v>
      </c>
      <c r="B50">
        <v>2</v>
      </c>
    </row>
    <row r="51" spans="1:2" x14ac:dyDescent="0.25">
      <c r="A51" t="s">
        <v>521</v>
      </c>
      <c r="B51">
        <v>2</v>
      </c>
    </row>
    <row r="52" spans="1:2" x14ac:dyDescent="0.25">
      <c r="A52" t="s">
        <v>522</v>
      </c>
      <c r="B52">
        <v>2</v>
      </c>
    </row>
    <row r="53" spans="1:2" x14ac:dyDescent="0.25">
      <c r="A53" t="s">
        <v>125</v>
      </c>
      <c r="B53">
        <v>3</v>
      </c>
    </row>
    <row r="54" spans="1:2" x14ac:dyDescent="0.25">
      <c r="A54" t="s">
        <v>179</v>
      </c>
      <c r="B54">
        <v>2</v>
      </c>
    </row>
    <row r="55" spans="1:2" x14ac:dyDescent="0.25">
      <c r="A55" s="188" t="s">
        <v>523</v>
      </c>
      <c r="B55" s="260">
        <v>0</v>
      </c>
    </row>
    <row r="56" spans="1:2" x14ac:dyDescent="0.25">
      <c r="A56" t="s">
        <v>524</v>
      </c>
      <c r="B56" s="260">
        <v>2</v>
      </c>
    </row>
    <row r="57" spans="1:2" x14ac:dyDescent="0.25">
      <c r="A57" t="s">
        <v>525</v>
      </c>
      <c r="B57" s="260">
        <v>2</v>
      </c>
    </row>
    <row r="58" spans="1:2" x14ac:dyDescent="0.25">
      <c r="A58" t="s">
        <v>69</v>
      </c>
      <c r="B58" s="260">
        <v>2</v>
      </c>
    </row>
    <row r="59" spans="1:2" x14ac:dyDescent="0.25">
      <c r="A59" t="s">
        <v>526</v>
      </c>
      <c r="B59" s="260">
        <v>3</v>
      </c>
    </row>
    <row r="60" spans="1:2" x14ac:dyDescent="0.25">
      <c r="A60" t="s">
        <v>527</v>
      </c>
      <c r="B60" s="260">
        <v>6</v>
      </c>
    </row>
    <row r="61" spans="1:2" x14ac:dyDescent="0.25">
      <c r="A61" t="s">
        <v>528</v>
      </c>
      <c r="B61" s="260">
        <v>2</v>
      </c>
    </row>
    <row r="62" spans="1:2" x14ac:dyDescent="0.25">
      <c r="A62" t="s">
        <v>529</v>
      </c>
      <c r="B62" s="260">
        <v>2</v>
      </c>
    </row>
    <row r="63" spans="1:2" x14ac:dyDescent="0.25">
      <c r="A63" t="s">
        <v>530</v>
      </c>
      <c r="B63" s="260">
        <v>1</v>
      </c>
    </row>
    <row r="64" spans="1:2" x14ac:dyDescent="0.25">
      <c r="A64" t="s">
        <v>531</v>
      </c>
      <c r="B64" s="260">
        <v>2</v>
      </c>
    </row>
    <row r="65" spans="1:3" x14ac:dyDescent="0.25">
      <c r="A65" t="s">
        <v>532</v>
      </c>
      <c r="B65" s="260">
        <v>2</v>
      </c>
    </row>
    <row r="66" spans="1:3" x14ac:dyDescent="0.25">
      <c r="A66" t="s">
        <v>533</v>
      </c>
      <c r="B66" s="260">
        <v>1</v>
      </c>
    </row>
    <row r="67" spans="1:3" x14ac:dyDescent="0.25">
      <c r="A67" t="s">
        <v>534</v>
      </c>
      <c r="B67" s="260">
        <v>2</v>
      </c>
    </row>
    <row r="68" spans="1:3" x14ac:dyDescent="0.25">
      <c r="A68" t="s">
        <v>535</v>
      </c>
      <c r="B68" s="260">
        <v>3</v>
      </c>
    </row>
    <row r="69" spans="1:3" x14ac:dyDescent="0.25">
      <c r="A69" t="s">
        <v>536</v>
      </c>
      <c r="B69" s="260">
        <v>2</v>
      </c>
    </row>
    <row r="70" spans="1:3" x14ac:dyDescent="0.25">
      <c r="A70" t="s">
        <v>537</v>
      </c>
      <c r="B70" s="260">
        <v>2</v>
      </c>
    </row>
    <row r="71" spans="1:3" x14ac:dyDescent="0.25">
      <c r="A71" t="s">
        <v>436</v>
      </c>
      <c r="B71" s="260">
        <v>2</v>
      </c>
    </row>
    <row r="72" spans="1:3" x14ac:dyDescent="0.25">
      <c r="A72" t="s">
        <v>505</v>
      </c>
      <c r="B72" s="260">
        <v>9</v>
      </c>
    </row>
    <row r="73" spans="1:3" x14ac:dyDescent="0.25">
      <c r="A73" t="s">
        <v>511</v>
      </c>
      <c r="B73" s="260">
        <v>6</v>
      </c>
    </row>
    <row r="74" spans="1:3" x14ac:dyDescent="0.25">
      <c r="A74" t="s">
        <v>813</v>
      </c>
      <c r="B74" s="260">
        <v>7</v>
      </c>
    </row>
    <row r="75" spans="1:3" x14ac:dyDescent="0.25">
      <c r="A75" t="s">
        <v>814</v>
      </c>
      <c r="B75">
        <v>3</v>
      </c>
    </row>
    <row r="76" spans="1:3" x14ac:dyDescent="0.25">
      <c r="A76" t="s">
        <v>815</v>
      </c>
    </row>
    <row r="77" spans="1:3" x14ac:dyDescent="0.25">
      <c r="B77">
        <f>SUM(B55:B73,B74)</f>
        <v>58</v>
      </c>
      <c r="C77" t="s">
        <v>812</v>
      </c>
    </row>
    <row r="78" spans="1:3" x14ac:dyDescent="0.25">
      <c r="B78" s="68">
        <f>(B77/180)*100</f>
        <v>32.222222222222221</v>
      </c>
      <c r="C78" t="s">
        <v>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39"/>
  <sheetViews>
    <sheetView workbookViewId="0">
      <selection activeCell="W3" sqref="W3"/>
    </sheetView>
  </sheetViews>
  <sheetFormatPr defaultColWidth="8.85546875" defaultRowHeight="15" x14ac:dyDescent="0.25"/>
  <cols>
    <col min="1" max="1" width="26.140625" style="10" customWidth="1"/>
    <col min="2" max="7" width="5.140625" customWidth="1"/>
    <col min="8" max="8" width="9.28515625" customWidth="1"/>
    <col min="9" max="9" width="7.7109375" customWidth="1"/>
    <col min="10" max="10" width="8.85546875" style="7"/>
    <col min="11" max="17" width="5.140625" style="7" customWidth="1"/>
    <col min="18" max="18" width="8.85546875" style="7"/>
    <col min="19" max="19" width="5.42578125" customWidth="1"/>
    <col min="20" max="20" width="6.42578125" customWidth="1"/>
    <col min="21" max="21" width="5.7109375" customWidth="1"/>
    <col min="22" max="22" width="11.5703125" customWidth="1"/>
    <col min="23" max="23" width="17.5703125" style="1" customWidth="1"/>
  </cols>
  <sheetData>
    <row r="1" spans="1:30" ht="34.5" customHeight="1" x14ac:dyDescent="0.25">
      <c r="A1" s="63" t="s">
        <v>816</v>
      </c>
      <c r="B1" s="3" t="s">
        <v>817</v>
      </c>
      <c r="C1" s="3"/>
      <c r="D1" s="3"/>
      <c r="E1" s="3"/>
      <c r="F1" s="3"/>
      <c r="G1" s="3"/>
      <c r="H1" t="s">
        <v>818</v>
      </c>
      <c r="J1" s="7" t="s">
        <v>819</v>
      </c>
      <c r="R1" s="7" t="s">
        <v>820</v>
      </c>
      <c r="T1" t="s">
        <v>821</v>
      </c>
      <c r="V1" t="s">
        <v>822</v>
      </c>
      <c r="W1" s="1" t="s">
        <v>823</v>
      </c>
      <c r="X1" t="s">
        <v>824</v>
      </c>
      <c r="Y1" t="s">
        <v>825</v>
      </c>
      <c r="Z1" t="s">
        <v>826</v>
      </c>
      <c r="AA1" t="s">
        <v>824</v>
      </c>
      <c r="AB1" t="s">
        <v>825</v>
      </c>
      <c r="AC1" t="s">
        <v>826</v>
      </c>
    </row>
    <row r="2" spans="1:30" ht="25.5" x14ac:dyDescent="0.25">
      <c r="A2" s="70" t="s">
        <v>25</v>
      </c>
      <c r="B2">
        <v>30</v>
      </c>
      <c r="H2">
        <f>SUM(B2:G2)</f>
        <v>30</v>
      </c>
      <c r="J2" s="74">
        <f>plan_statystyki!E7</f>
        <v>30</v>
      </c>
      <c r="R2" s="74">
        <f>SUM(J2:P2)</f>
        <v>30</v>
      </c>
      <c r="T2" s="68">
        <f t="shared" ref="T2:T36" si="0">R2-H2</f>
        <v>0</v>
      </c>
      <c r="W2" s="76">
        <f>R2+V2</f>
        <v>30</v>
      </c>
    </row>
    <row r="3" spans="1:30" ht="25.5" x14ac:dyDescent="0.25">
      <c r="A3" s="70" t="s">
        <v>29</v>
      </c>
      <c r="B3">
        <v>50</v>
      </c>
      <c r="H3">
        <f>SUM(B3:G3)</f>
        <v>50</v>
      </c>
      <c r="J3" s="74">
        <f>plan_statystyki!E8</f>
        <v>40</v>
      </c>
      <c r="R3" s="74">
        <f>SUM(J3:P3)</f>
        <v>40</v>
      </c>
      <c r="T3" s="68">
        <f t="shared" si="0"/>
        <v>-10</v>
      </c>
      <c r="W3" s="76">
        <f t="shared" ref="W3:W36" si="1">R3+V3</f>
        <v>40</v>
      </c>
    </row>
    <row r="4" spans="1:30" ht="25.5" x14ac:dyDescent="0.25">
      <c r="A4" s="70" t="s">
        <v>32</v>
      </c>
      <c r="B4">
        <v>30</v>
      </c>
      <c r="H4">
        <f>SUM(B4:G4)</f>
        <v>30</v>
      </c>
      <c r="J4" s="74">
        <f>plan_statystyki!E9</f>
        <v>40</v>
      </c>
      <c r="R4" s="74">
        <f>SUM(J4:P4)</f>
        <v>40</v>
      </c>
      <c r="T4" s="68">
        <f t="shared" si="0"/>
        <v>10</v>
      </c>
      <c r="W4" s="76">
        <f t="shared" si="1"/>
        <v>40</v>
      </c>
    </row>
    <row r="5" spans="1:30" ht="25.5" x14ac:dyDescent="0.25">
      <c r="A5" s="70" t="s">
        <v>827</v>
      </c>
      <c r="B5">
        <v>20</v>
      </c>
      <c r="H5">
        <f>SUM(B5:G5)</f>
        <v>20</v>
      </c>
      <c r="J5" s="74">
        <f>plan_statystyki!E10</f>
        <v>15</v>
      </c>
      <c r="R5" s="74">
        <f>SUM(J5:P5)</f>
        <v>15</v>
      </c>
      <c r="T5" s="68">
        <f t="shared" si="0"/>
        <v>-5</v>
      </c>
      <c r="W5" s="76">
        <f t="shared" si="1"/>
        <v>15</v>
      </c>
    </row>
    <row r="6" spans="1:30" ht="25.5" x14ac:dyDescent="0.25">
      <c r="A6" s="70" t="s">
        <v>131</v>
      </c>
      <c r="B6">
        <v>105</v>
      </c>
      <c r="C6">
        <v>50</v>
      </c>
      <c r="D6">
        <v>30</v>
      </c>
      <c r="E6">
        <v>75</v>
      </c>
      <c r="F6">
        <v>50</v>
      </c>
      <c r="G6">
        <v>80</v>
      </c>
      <c r="H6">
        <f>SUM(B6:G6)</f>
        <v>390</v>
      </c>
      <c r="J6" s="74">
        <f>plan_statystyki!E13</f>
        <v>50</v>
      </c>
      <c r="K6" s="74">
        <f>plan_statystyki!E47</f>
        <v>65</v>
      </c>
      <c r="L6" s="74" t="e">
        <f>plan_statystyki!#REF!</f>
        <v>#REF!</v>
      </c>
      <c r="M6" s="74">
        <f>plan_statystyki!E107</f>
        <v>80</v>
      </c>
      <c r="N6" s="74" t="e">
        <f>plan_statystyki!#REF!</f>
        <v>#REF!</v>
      </c>
      <c r="O6" s="74" t="e">
        <f>plan_statystyki!#REF!</f>
        <v>#REF!</v>
      </c>
      <c r="P6" s="74">
        <f>plan_statystyki!E194</f>
        <v>100</v>
      </c>
      <c r="Q6" s="74">
        <f>plan_statystyki!E196</f>
        <v>50</v>
      </c>
      <c r="R6" s="74" t="e">
        <f>SUM(J6:Q6)</f>
        <v>#REF!</v>
      </c>
      <c r="S6" s="74"/>
      <c r="T6" s="68" t="e">
        <f t="shared" si="0"/>
        <v>#REF!</v>
      </c>
      <c r="U6" s="74"/>
      <c r="V6">
        <v>370</v>
      </c>
      <c r="W6" s="77" t="e">
        <f t="shared" si="1"/>
        <v>#REF!</v>
      </c>
      <c r="X6" t="s">
        <v>828</v>
      </c>
      <c r="Y6" t="s">
        <v>829</v>
      </c>
      <c r="Z6">
        <v>40</v>
      </c>
      <c r="AA6" t="s">
        <v>830</v>
      </c>
      <c r="AB6">
        <v>75</v>
      </c>
      <c r="AC6">
        <v>25</v>
      </c>
      <c r="AD6">
        <f>(285*4)+(80*2)+40+(200*3)+105+25</f>
        <v>2070</v>
      </c>
    </row>
    <row r="7" spans="1:30" ht="25.5" x14ac:dyDescent="0.25">
      <c r="A7" s="70" t="s">
        <v>49</v>
      </c>
      <c r="B7">
        <v>60</v>
      </c>
      <c r="H7">
        <f t="shared" ref="H7:H36" si="2">SUM(B7:G7)</f>
        <v>60</v>
      </c>
      <c r="J7" s="74" t="e">
        <f>plan_statystyki!#REF!</f>
        <v>#REF!</v>
      </c>
      <c r="K7" s="74"/>
      <c r="L7" s="74"/>
      <c r="M7" s="74"/>
      <c r="R7" s="74" t="e">
        <f t="shared" ref="R7:R36" si="3">SUM(J7:P7)</f>
        <v>#REF!</v>
      </c>
      <c r="T7" s="68" t="e">
        <f t="shared" si="0"/>
        <v>#REF!</v>
      </c>
      <c r="U7" s="74"/>
      <c r="W7" s="76" t="e">
        <f t="shared" si="1"/>
        <v>#REF!</v>
      </c>
    </row>
    <row r="8" spans="1:30" ht="15.75" x14ac:dyDescent="0.25">
      <c r="A8" s="70" t="s">
        <v>45</v>
      </c>
      <c r="B8">
        <v>30</v>
      </c>
      <c r="C8">
        <v>25</v>
      </c>
      <c r="H8">
        <f t="shared" si="2"/>
        <v>55</v>
      </c>
      <c r="J8" s="74">
        <f>plan_statystyki!E15</f>
        <v>30</v>
      </c>
      <c r="K8" s="74">
        <f>plan_statystyki!E186</f>
        <v>0</v>
      </c>
      <c r="L8" s="74"/>
      <c r="M8" s="74"/>
      <c r="R8" s="74">
        <f t="shared" si="3"/>
        <v>30</v>
      </c>
      <c r="T8" s="68">
        <f t="shared" si="0"/>
        <v>-25</v>
      </c>
      <c r="U8" s="74"/>
      <c r="V8">
        <v>114</v>
      </c>
      <c r="W8" s="77">
        <f>R8+V8</f>
        <v>144</v>
      </c>
      <c r="X8" t="s">
        <v>831</v>
      </c>
      <c r="Y8" t="s">
        <v>832</v>
      </c>
      <c r="Z8">
        <v>20</v>
      </c>
      <c r="AA8" t="s">
        <v>833</v>
      </c>
      <c r="AB8">
        <v>39</v>
      </c>
      <c r="AC8">
        <v>25</v>
      </c>
      <c r="AD8">
        <f>100+90+20+180+39+25</f>
        <v>454</v>
      </c>
    </row>
    <row r="9" spans="1:30" ht="25.5" x14ac:dyDescent="0.25">
      <c r="A9" s="70" t="s">
        <v>834</v>
      </c>
      <c r="B9">
        <v>15</v>
      </c>
      <c r="H9">
        <f t="shared" si="2"/>
        <v>15</v>
      </c>
      <c r="J9" s="74">
        <f>plan_statystyki!E22</f>
        <v>0</v>
      </c>
      <c r="R9" s="74">
        <f t="shared" si="3"/>
        <v>0</v>
      </c>
      <c r="T9" s="68">
        <f t="shared" si="0"/>
        <v>-15</v>
      </c>
      <c r="W9" s="76">
        <f t="shared" si="1"/>
        <v>0</v>
      </c>
    </row>
    <row r="10" spans="1:30" ht="25.5" x14ac:dyDescent="0.25">
      <c r="A10" s="70" t="s">
        <v>835</v>
      </c>
      <c r="B10">
        <v>30</v>
      </c>
      <c r="C10">
        <v>20</v>
      </c>
      <c r="H10">
        <f t="shared" si="2"/>
        <v>50</v>
      </c>
      <c r="J10" s="74">
        <f>plan_statystyki!E23</f>
        <v>0</v>
      </c>
      <c r="K10" s="74" t="e">
        <f>plan_statystyki!#REF!</f>
        <v>#REF!</v>
      </c>
      <c r="R10" s="74" t="e">
        <f t="shared" si="3"/>
        <v>#REF!</v>
      </c>
      <c r="T10" s="68" t="e">
        <f t="shared" si="0"/>
        <v>#REF!</v>
      </c>
      <c r="W10" s="76" t="e">
        <f t="shared" si="1"/>
        <v>#REF!</v>
      </c>
    </row>
    <row r="11" spans="1:30" ht="15.75" x14ac:dyDescent="0.25">
      <c r="A11" s="71" t="s">
        <v>836</v>
      </c>
      <c r="B11">
        <v>30</v>
      </c>
      <c r="C11">
        <v>30</v>
      </c>
      <c r="H11">
        <f t="shared" si="2"/>
        <v>60</v>
      </c>
      <c r="J11" s="74" t="e">
        <f>plan_statystyki!#REF!</f>
        <v>#REF!</v>
      </c>
      <c r="K11" s="74">
        <f>plan_statystyki!E142</f>
        <v>30</v>
      </c>
      <c r="R11" s="74" t="e">
        <f t="shared" si="3"/>
        <v>#REF!</v>
      </c>
      <c r="T11" s="68" t="e">
        <f t="shared" si="0"/>
        <v>#REF!</v>
      </c>
      <c r="V11">
        <v>20</v>
      </c>
      <c r="W11" s="76" t="e">
        <f t="shared" si="1"/>
        <v>#REF!</v>
      </c>
    </row>
    <row r="12" spans="1:30" ht="25.5" x14ac:dyDescent="0.25">
      <c r="A12" s="71" t="s">
        <v>837</v>
      </c>
      <c r="B12">
        <v>20</v>
      </c>
      <c r="H12">
        <f t="shared" si="2"/>
        <v>20</v>
      </c>
      <c r="J12" s="74">
        <f>plan_statystyki!E27</f>
        <v>0</v>
      </c>
      <c r="K12" s="74"/>
      <c r="R12" s="74">
        <f t="shared" si="3"/>
        <v>0</v>
      </c>
      <c r="T12" s="68">
        <f t="shared" si="0"/>
        <v>-20</v>
      </c>
      <c r="V12">
        <v>4</v>
      </c>
      <c r="W12" s="76">
        <f t="shared" si="1"/>
        <v>4</v>
      </c>
    </row>
    <row r="13" spans="1:30" ht="15.75" x14ac:dyDescent="0.25">
      <c r="A13" s="71" t="s">
        <v>58</v>
      </c>
      <c r="B13">
        <v>15</v>
      </c>
      <c r="C13">
        <v>15</v>
      </c>
      <c r="D13">
        <v>15</v>
      </c>
      <c r="H13">
        <f t="shared" si="2"/>
        <v>45</v>
      </c>
      <c r="J13" s="74">
        <f>plan_statystyki!E29</f>
        <v>20</v>
      </c>
      <c r="K13" s="74" t="e">
        <f>plan_statystyki!#REF!</f>
        <v>#REF!</v>
      </c>
      <c r="L13" s="74">
        <f>plan_statystyki!E93</f>
        <v>0</v>
      </c>
      <c r="R13" s="74" t="e">
        <f t="shared" si="3"/>
        <v>#REF!</v>
      </c>
      <c r="T13" s="68" t="e">
        <f t="shared" si="0"/>
        <v>#REF!</v>
      </c>
      <c r="V13">
        <v>15</v>
      </c>
      <c r="W13" s="76" t="e">
        <f t="shared" si="1"/>
        <v>#REF!</v>
      </c>
    </row>
    <row r="14" spans="1:30" ht="25.5" x14ac:dyDescent="0.25">
      <c r="A14" s="70" t="s">
        <v>83</v>
      </c>
      <c r="B14">
        <v>45</v>
      </c>
      <c r="C14">
        <v>20</v>
      </c>
      <c r="H14">
        <f t="shared" si="2"/>
        <v>65</v>
      </c>
      <c r="J14" s="74">
        <f>plan_statystyki!E41</f>
        <v>50</v>
      </c>
      <c r="K14" s="74">
        <f>plan_statystyki!E184</f>
        <v>0</v>
      </c>
      <c r="R14" s="74">
        <f t="shared" si="3"/>
        <v>50</v>
      </c>
      <c r="T14" s="68">
        <f t="shared" si="0"/>
        <v>-15</v>
      </c>
      <c r="W14" s="76">
        <f t="shared" si="1"/>
        <v>50</v>
      </c>
    </row>
    <row r="15" spans="1:30" ht="25.5" x14ac:dyDescent="0.25">
      <c r="A15" s="70" t="s">
        <v>88</v>
      </c>
      <c r="B15">
        <v>30</v>
      </c>
      <c r="H15">
        <f t="shared" si="2"/>
        <v>30</v>
      </c>
      <c r="J15" s="74">
        <f>plan_statystyki!E43</f>
        <v>40</v>
      </c>
      <c r="R15" s="74">
        <f t="shared" si="3"/>
        <v>40</v>
      </c>
      <c r="T15" s="68">
        <f t="shared" si="0"/>
        <v>10</v>
      </c>
      <c r="W15" s="76">
        <f t="shared" si="1"/>
        <v>40</v>
      </c>
    </row>
    <row r="16" spans="1:30" ht="38.25" x14ac:dyDescent="0.25">
      <c r="A16" s="70" t="s">
        <v>90</v>
      </c>
      <c r="B16">
        <v>30</v>
      </c>
      <c r="H16">
        <f t="shared" si="2"/>
        <v>30</v>
      </c>
      <c r="J16" s="74">
        <f>plan_statystyki!E44</f>
        <v>40</v>
      </c>
      <c r="R16" s="74">
        <f t="shared" si="3"/>
        <v>40</v>
      </c>
      <c r="T16" s="68">
        <f t="shared" si="0"/>
        <v>10</v>
      </c>
      <c r="W16" s="76">
        <f t="shared" si="1"/>
        <v>40</v>
      </c>
    </row>
    <row r="17" spans="1:30" ht="25.5" x14ac:dyDescent="0.25">
      <c r="A17" s="70" t="s">
        <v>838</v>
      </c>
      <c r="B17">
        <v>55</v>
      </c>
      <c r="C17">
        <v>15</v>
      </c>
      <c r="D17">
        <v>20</v>
      </c>
      <c r="H17">
        <f t="shared" si="2"/>
        <v>90</v>
      </c>
      <c r="J17" s="74" t="e">
        <f>plan_statystyki!#REF!</f>
        <v>#REF!</v>
      </c>
      <c r="K17" s="74">
        <f>plan_statystyki!E56</f>
        <v>60</v>
      </c>
      <c r="L17" s="74" t="e">
        <f>plan_statystyki!#REF!</f>
        <v>#REF!</v>
      </c>
      <c r="R17" s="74" t="e">
        <f t="shared" si="3"/>
        <v>#REF!</v>
      </c>
      <c r="T17" s="68" t="e">
        <f t="shared" si="0"/>
        <v>#REF!</v>
      </c>
      <c r="V17">
        <v>50</v>
      </c>
      <c r="W17" s="77" t="e">
        <f t="shared" si="1"/>
        <v>#REF!</v>
      </c>
    </row>
    <row r="18" spans="1:30" ht="25.5" x14ac:dyDescent="0.25">
      <c r="A18" s="70" t="s">
        <v>94</v>
      </c>
      <c r="B18">
        <v>40</v>
      </c>
      <c r="C18">
        <v>40</v>
      </c>
      <c r="D18">
        <v>40</v>
      </c>
      <c r="H18">
        <f t="shared" si="2"/>
        <v>120</v>
      </c>
      <c r="J18" s="74">
        <f>plan_statystyki!E52</f>
        <v>20</v>
      </c>
      <c r="K18" s="74">
        <f>plan_statystyki!E86</f>
        <v>40</v>
      </c>
      <c r="L18" s="74" t="e">
        <f>plan_statystyki!#REF!</f>
        <v>#REF!</v>
      </c>
      <c r="M18" s="74">
        <f>plan_statystyki!E148</f>
        <v>30</v>
      </c>
      <c r="R18" s="74" t="e">
        <f t="shared" si="3"/>
        <v>#REF!</v>
      </c>
      <c r="T18" s="68" t="e">
        <f t="shared" si="0"/>
        <v>#REF!</v>
      </c>
      <c r="V18">
        <v>30</v>
      </c>
      <c r="W18" s="76" t="e">
        <f t="shared" si="1"/>
        <v>#REF!</v>
      </c>
    </row>
    <row r="19" spans="1:30" ht="15.75" x14ac:dyDescent="0.25">
      <c r="A19" s="72" t="s">
        <v>148</v>
      </c>
      <c r="B19">
        <v>100</v>
      </c>
      <c r="C19">
        <v>100</v>
      </c>
      <c r="H19">
        <f t="shared" si="2"/>
        <v>200</v>
      </c>
      <c r="J19" s="74">
        <f>plan_statystyki!E64</f>
        <v>75</v>
      </c>
      <c r="K19" s="74">
        <f>plan_statystyki!E129</f>
        <v>75</v>
      </c>
      <c r="R19" s="74">
        <f t="shared" si="3"/>
        <v>150</v>
      </c>
      <c r="T19" s="68">
        <f t="shared" si="0"/>
        <v>-50</v>
      </c>
      <c r="V19">
        <v>150</v>
      </c>
      <c r="W19" s="76">
        <f t="shared" si="1"/>
        <v>300</v>
      </c>
    </row>
    <row r="20" spans="1:30" ht="15.75" x14ac:dyDescent="0.25">
      <c r="A20" s="70" t="s">
        <v>85</v>
      </c>
      <c r="B20">
        <v>30</v>
      </c>
      <c r="H20">
        <f t="shared" si="2"/>
        <v>30</v>
      </c>
      <c r="J20" s="74" t="e">
        <f>plan_statystyki!#REF!</f>
        <v>#REF!</v>
      </c>
      <c r="K20" s="74"/>
      <c r="R20" s="74" t="e">
        <f t="shared" si="3"/>
        <v>#REF!</v>
      </c>
      <c r="T20" s="68" t="e">
        <f t="shared" si="0"/>
        <v>#REF!</v>
      </c>
      <c r="W20" s="76" t="e">
        <f t="shared" si="1"/>
        <v>#REF!</v>
      </c>
    </row>
    <row r="21" spans="1:30" ht="38.25" x14ac:dyDescent="0.25">
      <c r="A21" s="70" t="s">
        <v>104</v>
      </c>
      <c r="B21">
        <v>75</v>
      </c>
      <c r="H21">
        <f t="shared" si="2"/>
        <v>75</v>
      </c>
      <c r="J21" s="74">
        <f>plan_statystyki!E74</f>
        <v>70</v>
      </c>
      <c r="R21" s="74">
        <f t="shared" si="3"/>
        <v>70</v>
      </c>
      <c r="T21" s="68">
        <f t="shared" si="0"/>
        <v>-5</v>
      </c>
      <c r="W21" s="76">
        <f t="shared" si="1"/>
        <v>70</v>
      </c>
    </row>
    <row r="22" spans="1:30" ht="25.5" x14ac:dyDescent="0.25">
      <c r="A22" s="70" t="s">
        <v>107</v>
      </c>
      <c r="B22">
        <v>15</v>
      </c>
      <c r="H22">
        <f t="shared" si="2"/>
        <v>15</v>
      </c>
      <c r="J22" s="74">
        <f>plan_statystyki!E75</f>
        <v>20</v>
      </c>
      <c r="R22" s="74">
        <f t="shared" si="3"/>
        <v>20</v>
      </c>
      <c r="T22" s="68">
        <f t="shared" si="0"/>
        <v>5</v>
      </c>
      <c r="V22">
        <v>50</v>
      </c>
      <c r="W22" s="76">
        <f t="shared" si="1"/>
        <v>70</v>
      </c>
    </row>
    <row r="23" spans="1:30" ht="15.75" x14ac:dyDescent="0.25">
      <c r="A23" s="70" t="s">
        <v>839</v>
      </c>
      <c r="B23">
        <v>90</v>
      </c>
      <c r="H23">
        <f t="shared" si="2"/>
        <v>90</v>
      </c>
      <c r="J23" s="74">
        <f>plan_statystyki!E78</f>
        <v>70</v>
      </c>
      <c r="R23" s="74">
        <f t="shared" si="3"/>
        <v>70</v>
      </c>
      <c r="T23" s="68">
        <f t="shared" si="0"/>
        <v>-20</v>
      </c>
      <c r="W23" s="76">
        <f t="shared" si="1"/>
        <v>70</v>
      </c>
    </row>
    <row r="24" spans="1:30" ht="25.5" x14ac:dyDescent="0.25">
      <c r="A24" s="70" t="s">
        <v>115</v>
      </c>
      <c r="B24">
        <v>45</v>
      </c>
      <c r="C24">
        <v>15</v>
      </c>
      <c r="H24">
        <f t="shared" si="2"/>
        <v>60</v>
      </c>
      <c r="J24" s="74">
        <f>plan_statystyki!E81</f>
        <v>40</v>
      </c>
      <c r="K24" s="74">
        <f>plan_statystyki!E90</f>
        <v>60</v>
      </c>
      <c r="R24" s="74">
        <f t="shared" si="3"/>
        <v>100</v>
      </c>
      <c r="T24" s="68">
        <f t="shared" si="0"/>
        <v>40</v>
      </c>
      <c r="W24" s="76">
        <f t="shared" si="1"/>
        <v>100</v>
      </c>
    </row>
    <row r="25" spans="1:30" ht="25.5" x14ac:dyDescent="0.25">
      <c r="A25" s="70" t="s">
        <v>840</v>
      </c>
      <c r="B25">
        <v>50</v>
      </c>
      <c r="C25">
        <v>15</v>
      </c>
      <c r="H25">
        <f t="shared" si="2"/>
        <v>65</v>
      </c>
      <c r="J25" s="74">
        <f>plan_statystyki!E82</f>
        <v>50</v>
      </c>
      <c r="K25" s="74">
        <f>plan_statystyki!E92</f>
        <v>0</v>
      </c>
      <c r="L25" s="74">
        <f>plan_statystyki!E196</f>
        <v>50</v>
      </c>
      <c r="R25" s="74">
        <f t="shared" si="3"/>
        <v>100</v>
      </c>
      <c r="T25" s="68">
        <f t="shared" si="0"/>
        <v>35</v>
      </c>
      <c r="V25">
        <v>120</v>
      </c>
      <c r="W25" s="77">
        <f t="shared" si="1"/>
        <v>220</v>
      </c>
      <c r="X25">
        <v>260</v>
      </c>
      <c r="AA25">
        <v>240</v>
      </c>
      <c r="AD25">
        <v>500</v>
      </c>
    </row>
    <row r="26" spans="1:30" ht="15.75" x14ac:dyDescent="0.25">
      <c r="A26" s="72" t="s">
        <v>129</v>
      </c>
      <c r="B26">
        <v>30</v>
      </c>
      <c r="H26">
        <f t="shared" si="2"/>
        <v>30</v>
      </c>
      <c r="J26" s="74">
        <f>plan_statystyki!E104</f>
        <v>20</v>
      </c>
      <c r="R26" s="74">
        <f t="shared" si="3"/>
        <v>20</v>
      </c>
      <c r="T26" s="68">
        <f t="shared" si="0"/>
        <v>-10</v>
      </c>
      <c r="W26" s="76">
        <f t="shared" si="1"/>
        <v>20</v>
      </c>
    </row>
    <row r="27" spans="1:30" ht="25.5" x14ac:dyDescent="0.25">
      <c r="A27" s="70" t="s">
        <v>841</v>
      </c>
      <c r="B27">
        <v>35</v>
      </c>
      <c r="C27">
        <v>15</v>
      </c>
      <c r="H27">
        <f t="shared" si="2"/>
        <v>50</v>
      </c>
      <c r="J27" s="74">
        <f>plan_statystyki!E108</f>
        <v>50</v>
      </c>
      <c r="K27" s="74" t="e">
        <f>plan_statystyki!#REF!</f>
        <v>#REF!</v>
      </c>
      <c r="R27" s="74" t="e">
        <f t="shared" si="3"/>
        <v>#REF!</v>
      </c>
      <c r="T27" s="68" t="e">
        <f t="shared" si="0"/>
        <v>#REF!</v>
      </c>
      <c r="V27">
        <v>135</v>
      </c>
      <c r="W27" s="77" t="e">
        <f t="shared" si="1"/>
        <v>#REF!</v>
      </c>
    </row>
    <row r="28" spans="1:30" ht="25.5" x14ac:dyDescent="0.25">
      <c r="A28" s="70" t="s">
        <v>157</v>
      </c>
      <c r="B28">
        <v>45</v>
      </c>
      <c r="C28">
        <v>15</v>
      </c>
      <c r="H28">
        <f t="shared" si="2"/>
        <v>60</v>
      </c>
      <c r="J28" s="74">
        <f>plan_statystyki!E111</f>
        <v>40</v>
      </c>
      <c r="K28" s="74" t="e">
        <f>plan_statystyki!#REF!</f>
        <v>#REF!</v>
      </c>
      <c r="R28" s="74" t="e">
        <f t="shared" si="3"/>
        <v>#REF!</v>
      </c>
      <c r="T28" s="68" t="e">
        <f t="shared" si="0"/>
        <v>#REF!</v>
      </c>
      <c r="W28" s="76" t="e">
        <f t="shared" si="1"/>
        <v>#REF!</v>
      </c>
    </row>
    <row r="29" spans="1:30" ht="25.5" x14ac:dyDescent="0.25">
      <c r="A29" s="70" t="s">
        <v>842</v>
      </c>
      <c r="B29">
        <v>45</v>
      </c>
      <c r="C29">
        <v>10</v>
      </c>
      <c r="H29">
        <f t="shared" si="2"/>
        <v>55</v>
      </c>
      <c r="J29" s="74">
        <f>plan_statystyki!E113</f>
        <v>30</v>
      </c>
      <c r="K29" s="74">
        <f>plan_statystyki!E119</f>
        <v>0</v>
      </c>
      <c r="R29" s="74">
        <f t="shared" si="3"/>
        <v>30</v>
      </c>
      <c r="T29" s="68">
        <f t="shared" si="0"/>
        <v>-25</v>
      </c>
      <c r="W29" s="76">
        <f t="shared" si="1"/>
        <v>30</v>
      </c>
    </row>
    <row r="30" spans="1:30" ht="25.5" x14ac:dyDescent="0.25">
      <c r="A30" s="70" t="s">
        <v>152</v>
      </c>
      <c r="B30">
        <v>60</v>
      </c>
      <c r="H30">
        <f t="shared" si="2"/>
        <v>60</v>
      </c>
      <c r="J30" s="74">
        <f>plan_statystyki!E139</f>
        <v>45</v>
      </c>
      <c r="K30" s="74"/>
      <c r="R30" s="74">
        <f t="shared" si="3"/>
        <v>45</v>
      </c>
      <c r="T30" s="68">
        <f t="shared" si="0"/>
        <v>-15</v>
      </c>
      <c r="V30">
        <v>30</v>
      </c>
      <c r="W30" s="76">
        <f t="shared" si="1"/>
        <v>75</v>
      </c>
    </row>
    <row r="31" spans="1:30" ht="38.25" x14ac:dyDescent="0.25">
      <c r="A31" s="70" t="s">
        <v>155</v>
      </c>
      <c r="B31">
        <v>30</v>
      </c>
      <c r="C31">
        <v>15</v>
      </c>
      <c r="H31">
        <f t="shared" si="2"/>
        <v>45</v>
      </c>
      <c r="J31" s="74">
        <f>plan_statystyki!E143</f>
        <v>30</v>
      </c>
      <c r="K31" s="74" t="e">
        <f>plan_statystyki!#REF!</f>
        <v>#REF!</v>
      </c>
      <c r="R31" s="74" t="e">
        <f t="shared" si="3"/>
        <v>#REF!</v>
      </c>
      <c r="T31" s="68" t="e">
        <f t="shared" si="0"/>
        <v>#REF!</v>
      </c>
      <c r="V31">
        <v>50</v>
      </c>
      <c r="W31" s="76" t="e">
        <f t="shared" si="1"/>
        <v>#REF!</v>
      </c>
    </row>
    <row r="32" spans="1:30" ht="25.5" x14ac:dyDescent="0.25">
      <c r="A32" s="70" t="s">
        <v>173</v>
      </c>
      <c r="B32">
        <v>45</v>
      </c>
      <c r="C32">
        <v>10</v>
      </c>
      <c r="H32">
        <f t="shared" si="2"/>
        <v>55</v>
      </c>
      <c r="J32" s="74" t="e">
        <f>plan_statystyki!#REF!</f>
        <v>#REF!</v>
      </c>
      <c r="K32" s="74" t="e">
        <f>plan_statystyki!#REF!</f>
        <v>#REF!</v>
      </c>
      <c r="R32" s="74" t="e">
        <f t="shared" si="3"/>
        <v>#REF!</v>
      </c>
      <c r="T32" s="68" t="e">
        <f t="shared" si="0"/>
        <v>#REF!</v>
      </c>
      <c r="W32" s="76" t="e">
        <f t="shared" si="1"/>
        <v>#REF!</v>
      </c>
    </row>
    <row r="33" spans="1:23" ht="25.5" x14ac:dyDescent="0.25">
      <c r="A33" s="70" t="s">
        <v>169</v>
      </c>
      <c r="B33">
        <v>45</v>
      </c>
      <c r="H33">
        <f t="shared" si="2"/>
        <v>45</v>
      </c>
      <c r="J33" s="74">
        <f>plan_statystyki!E172</f>
        <v>50</v>
      </c>
      <c r="R33" s="74">
        <f t="shared" si="3"/>
        <v>50</v>
      </c>
      <c r="T33" s="68">
        <f t="shared" si="0"/>
        <v>5</v>
      </c>
      <c r="V33">
        <v>60</v>
      </c>
      <c r="W33" s="76">
        <f t="shared" si="1"/>
        <v>110</v>
      </c>
    </row>
    <row r="34" spans="1:23" ht="15.75" x14ac:dyDescent="0.25">
      <c r="A34" s="70" t="s">
        <v>171</v>
      </c>
      <c r="B34">
        <v>30</v>
      </c>
      <c r="C34">
        <v>10</v>
      </c>
      <c r="H34">
        <f t="shared" si="2"/>
        <v>40</v>
      </c>
      <c r="J34" s="74">
        <f>plan_statystyki!E175</f>
        <v>30</v>
      </c>
      <c r="K34" s="74" t="e">
        <f>plan_statystyki!#REF!</f>
        <v>#REF!</v>
      </c>
      <c r="R34" s="74" t="e">
        <f t="shared" si="3"/>
        <v>#REF!</v>
      </c>
      <c r="T34" s="68" t="e">
        <f t="shared" si="0"/>
        <v>#REF!</v>
      </c>
      <c r="V34">
        <v>50</v>
      </c>
      <c r="W34" s="76" t="e">
        <f t="shared" si="1"/>
        <v>#REF!</v>
      </c>
    </row>
    <row r="35" spans="1:23" ht="25.5" x14ac:dyDescent="0.25">
      <c r="A35" s="70" t="s">
        <v>843</v>
      </c>
      <c r="B35">
        <v>20</v>
      </c>
      <c r="H35">
        <f t="shared" si="2"/>
        <v>20</v>
      </c>
      <c r="J35" s="74" t="e">
        <f>plan_statystyki!#REF!</f>
        <v>#REF!</v>
      </c>
      <c r="R35" s="74" t="e">
        <f t="shared" si="3"/>
        <v>#REF!</v>
      </c>
      <c r="T35" s="68" t="e">
        <f t="shared" si="0"/>
        <v>#REF!</v>
      </c>
      <c r="W35" s="76" t="e">
        <f t="shared" si="1"/>
        <v>#REF!</v>
      </c>
    </row>
    <row r="36" spans="1:23" ht="15.75" x14ac:dyDescent="0.25">
      <c r="A36" s="71" t="s">
        <v>538</v>
      </c>
      <c r="B36">
        <v>60</v>
      </c>
      <c r="H36">
        <f t="shared" si="2"/>
        <v>60</v>
      </c>
      <c r="J36" s="74">
        <f>plan_statystyki!E198</f>
        <v>3</v>
      </c>
      <c r="R36" s="74">
        <f t="shared" si="3"/>
        <v>3</v>
      </c>
      <c r="T36" s="68">
        <f t="shared" si="0"/>
        <v>-57</v>
      </c>
      <c r="W36" s="76">
        <f t="shared" si="1"/>
        <v>3</v>
      </c>
    </row>
    <row r="37" spans="1:23" ht="15.75" x14ac:dyDescent="0.25">
      <c r="A37" s="73"/>
      <c r="G37" t="s">
        <v>812</v>
      </c>
      <c r="H37">
        <f>SUM(H2:H36)</f>
        <v>2215</v>
      </c>
      <c r="Q37" s="7" t="s">
        <v>812</v>
      </c>
      <c r="R37" s="74" t="e">
        <f>SUM(R2:R36)</f>
        <v>#REF!</v>
      </c>
      <c r="W37" s="75"/>
    </row>
    <row r="38" spans="1:23" ht="15.75" x14ac:dyDescent="0.25">
      <c r="A38" s="51"/>
    </row>
    <row r="39" spans="1:23" ht="15.75" x14ac:dyDescent="0.25">
      <c r="A39" s="51"/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I35"/>
  <sheetViews>
    <sheetView workbookViewId="0">
      <selection activeCell="R33" sqref="C1:R33"/>
    </sheetView>
  </sheetViews>
  <sheetFormatPr defaultRowHeight="15" x14ac:dyDescent="0.25"/>
  <cols>
    <col min="1" max="2" width="3.7109375" customWidth="1"/>
    <col min="3" max="3" width="16.85546875" style="2" customWidth="1"/>
    <col min="4" max="17" width="6.5703125" customWidth="1"/>
    <col min="18" max="18" width="10.7109375" customWidth="1"/>
    <col min="20" max="20" width="8.85546875" customWidth="1"/>
  </cols>
  <sheetData>
    <row r="1" spans="1:35" x14ac:dyDescent="0.25">
      <c r="C1" s="313" t="s">
        <v>844</v>
      </c>
      <c r="D1" s="605" t="s">
        <v>845</v>
      </c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7"/>
    </row>
    <row r="2" spans="1:35" ht="27" customHeight="1" x14ac:dyDescent="0.25">
      <c r="A2" s="68"/>
      <c r="B2" s="68"/>
      <c r="C2" s="292"/>
      <c r="D2" s="74" t="str">
        <f>plan_statystyki!D209</f>
        <v>L.G</v>
      </c>
      <c r="E2" s="74" t="str">
        <f>plan_statystyki!E209</f>
        <v>%U</v>
      </c>
      <c r="F2" s="74" t="str">
        <f>plan_statystyki!F209</f>
        <v>ECTS</v>
      </c>
      <c r="G2" s="74" t="str">
        <f>plan_statystyki!G209</f>
        <v>%U</v>
      </c>
      <c r="H2" s="74" t="str">
        <f>plan_statystyki!H209</f>
        <v>W</v>
      </c>
      <c r="I2" s="74" t="str">
        <f>plan_statystyki!I209</f>
        <v>%U</v>
      </c>
      <c r="J2" s="74" t="str">
        <f>plan_statystyki!J209</f>
        <v>Ć</v>
      </c>
      <c r="K2" s="74" t="str">
        <f>plan_statystyki!K209</f>
        <v>%U</v>
      </c>
      <c r="L2" s="74" t="str">
        <f>plan_statystyki!L209</f>
        <v>S</v>
      </c>
      <c r="M2" s="74" t="str">
        <f>plan_statystyki!M209</f>
        <v>%U</v>
      </c>
      <c r="N2" s="74" t="str">
        <f>plan_statystyki!N209</f>
        <v>ZP</v>
      </c>
      <c r="O2" s="74" t="str">
        <f>plan_statystyki!O209</f>
        <v>%U</v>
      </c>
      <c r="P2" s="74" t="str">
        <f>plan_statystyki!P209</f>
        <v>PR</v>
      </c>
      <c r="Q2" s="74" t="str">
        <f>plan_statystyki!Q209</f>
        <v>%U</v>
      </c>
      <c r="R2" s="293" t="str">
        <f>plan_statystyki!T209</f>
        <v>Suma godz.</v>
      </c>
    </row>
    <row r="3" spans="1:35" x14ac:dyDescent="0.25">
      <c r="C3" s="294" t="str">
        <f>plan_statystyki!C210</f>
        <v>Semestr I</v>
      </c>
      <c r="D3" s="68">
        <f>plan_statystyki!D210</f>
        <v>430</v>
      </c>
      <c r="E3" s="68">
        <f>plan_statystyki!E210</f>
        <v>17.2</v>
      </c>
      <c r="F3" s="68">
        <f>plan_statystyki!F210</f>
        <v>30</v>
      </c>
      <c r="G3" s="68">
        <f>plan_statystyki!G210</f>
        <v>16.666666666666664</v>
      </c>
      <c r="H3" s="68">
        <f>plan_statystyki!H210</f>
        <v>100</v>
      </c>
      <c r="I3" s="68">
        <f>plan_statystyki!I210</f>
        <v>4</v>
      </c>
      <c r="J3" s="68">
        <f>plan_statystyki!J210</f>
        <v>135</v>
      </c>
      <c r="K3" s="68">
        <f>plan_statystyki!K210</f>
        <v>5.4</v>
      </c>
      <c r="L3" s="68">
        <f>plan_statystyki!L210</f>
        <v>195</v>
      </c>
      <c r="M3" s="68">
        <f>plan_statystyki!M210</f>
        <v>7.8</v>
      </c>
      <c r="N3" s="68">
        <f>plan_statystyki!N210</f>
        <v>0</v>
      </c>
      <c r="O3" s="68">
        <f>plan_statystyki!O210</f>
        <v>0</v>
      </c>
      <c r="P3" s="68">
        <f>plan_statystyki!P210</f>
        <v>0</v>
      </c>
      <c r="Q3" s="68">
        <f>plan_statystyki!Q210</f>
        <v>0</v>
      </c>
      <c r="R3" s="295">
        <f>plan_statystyki!T210</f>
        <v>430</v>
      </c>
    </row>
    <row r="4" spans="1:35" x14ac:dyDescent="0.25">
      <c r="C4" s="294" t="str">
        <f>plan_statystyki!C211</f>
        <v>Semestr II</v>
      </c>
      <c r="D4" s="68">
        <f>plan_statystyki!D211</f>
        <v>420</v>
      </c>
      <c r="E4" s="68">
        <f>plan_statystyki!E211</f>
        <v>16.8</v>
      </c>
      <c r="F4" s="68">
        <f>plan_statystyki!F211</f>
        <v>30</v>
      </c>
      <c r="G4" s="68">
        <f>plan_statystyki!G211</f>
        <v>16.666666666666664</v>
      </c>
      <c r="H4" s="68">
        <f>plan_statystyki!H211</f>
        <v>45</v>
      </c>
      <c r="I4" s="68">
        <f>plan_statystyki!I211</f>
        <v>1.7999999999999998</v>
      </c>
      <c r="J4" s="68">
        <f>plan_statystyki!J211</f>
        <v>120</v>
      </c>
      <c r="K4" s="68">
        <f>plan_statystyki!K211</f>
        <v>4.8</v>
      </c>
      <c r="L4" s="68">
        <f>plan_statystyki!L211</f>
        <v>180</v>
      </c>
      <c r="M4" s="68">
        <f>plan_statystyki!M211</f>
        <v>7.1999999999999993</v>
      </c>
      <c r="N4" s="68">
        <f>plan_statystyki!N211</f>
        <v>0</v>
      </c>
      <c r="O4" s="68">
        <f>plan_statystyki!O211</f>
        <v>0</v>
      </c>
      <c r="P4" s="68">
        <f>plan_statystyki!P211</f>
        <v>75</v>
      </c>
      <c r="Q4" s="68">
        <f>plan_statystyki!Q211</f>
        <v>3</v>
      </c>
      <c r="R4" s="295">
        <f>plan_statystyki!T211</f>
        <v>420</v>
      </c>
    </row>
    <row r="5" spans="1:35" x14ac:dyDescent="0.25">
      <c r="C5" s="294" t="str">
        <f>plan_statystyki!C212</f>
        <v>Semestr III</v>
      </c>
      <c r="D5" s="68">
        <f>plan_statystyki!D212</f>
        <v>420</v>
      </c>
      <c r="E5" s="68">
        <f>plan_statystyki!E212</f>
        <v>16.8</v>
      </c>
      <c r="F5" s="68">
        <f>plan_statystyki!F212</f>
        <v>30</v>
      </c>
      <c r="G5" s="68">
        <f>plan_statystyki!G212</f>
        <v>16.666666666666664</v>
      </c>
      <c r="H5" s="68">
        <f>plan_statystyki!H212</f>
        <v>85</v>
      </c>
      <c r="I5" s="68">
        <f>plan_statystyki!I212</f>
        <v>3.4000000000000004</v>
      </c>
      <c r="J5" s="68">
        <f>plan_statystyki!J212</f>
        <v>160</v>
      </c>
      <c r="K5" s="68">
        <f>plan_statystyki!K212</f>
        <v>6.4</v>
      </c>
      <c r="L5" s="68">
        <f>plan_statystyki!L212</f>
        <v>175</v>
      </c>
      <c r="M5" s="68">
        <f>plan_statystyki!M212</f>
        <v>7.0000000000000009</v>
      </c>
      <c r="N5" s="68">
        <f>plan_statystyki!N212</f>
        <v>0</v>
      </c>
      <c r="O5" s="68">
        <f>plan_statystyki!O212</f>
        <v>0</v>
      </c>
      <c r="P5" s="68">
        <f>plan_statystyki!P212</f>
        <v>0</v>
      </c>
      <c r="Q5" s="68">
        <f>plan_statystyki!Q212</f>
        <v>0</v>
      </c>
      <c r="R5" s="295">
        <f>plan_statystyki!T212</f>
        <v>420</v>
      </c>
    </row>
    <row r="6" spans="1:35" x14ac:dyDescent="0.25">
      <c r="C6" s="294" t="str">
        <f>plan_statystyki!C213</f>
        <v>Semestr IV</v>
      </c>
      <c r="D6" s="68">
        <f>plan_statystyki!D213</f>
        <v>435</v>
      </c>
      <c r="E6" s="68">
        <f>plan_statystyki!E213</f>
        <v>17.399999999999999</v>
      </c>
      <c r="F6" s="68">
        <f>plan_statystyki!F213</f>
        <v>30</v>
      </c>
      <c r="G6" s="68">
        <f>plan_statystyki!G213</f>
        <v>16.666666666666664</v>
      </c>
      <c r="H6" s="68">
        <f>plan_statystyki!H213</f>
        <v>50</v>
      </c>
      <c r="I6" s="68">
        <f>plan_statystyki!I213</f>
        <v>2</v>
      </c>
      <c r="J6" s="68">
        <f>plan_statystyki!J213</f>
        <v>105</v>
      </c>
      <c r="K6" s="68">
        <f>plan_statystyki!K213</f>
        <v>4.2</v>
      </c>
      <c r="L6" s="68">
        <f>plan_statystyki!L213</f>
        <v>205</v>
      </c>
      <c r="M6" s="68">
        <f>plan_statystyki!M213</f>
        <v>8.2000000000000011</v>
      </c>
      <c r="N6" s="68">
        <f>plan_statystyki!N213</f>
        <v>0</v>
      </c>
      <c r="O6" s="68">
        <f>plan_statystyki!O213</f>
        <v>0</v>
      </c>
      <c r="P6" s="68">
        <f>plan_statystyki!P213</f>
        <v>75</v>
      </c>
      <c r="Q6" s="68">
        <f>plan_statystyki!Q213</f>
        <v>3</v>
      </c>
      <c r="R6" s="295">
        <f>plan_statystyki!T213</f>
        <v>435</v>
      </c>
    </row>
    <row r="7" spans="1:35" x14ac:dyDescent="0.25">
      <c r="C7" s="294" t="str">
        <f>plan_statystyki!C214</f>
        <v>Semestr V</v>
      </c>
      <c r="D7" s="68">
        <f>plan_statystyki!D214</f>
        <v>435</v>
      </c>
      <c r="E7" s="68">
        <f>plan_statystyki!E214</f>
        <v>17.399999999999999</v>
      </c>
      <c r="F7" s="68">
        <f>plan_statystyki!F214</f>
        <v>30</v>
      </c>
      <c r="G7" s="68">
        <f>plan_statystyki!G214</f>
        <v>16.666666666666664</v>
      </c>
      <c r="H7" s="68">
        <f>plan_statystyki!H214</f>
        <v>55</v>
      </c>
      <c r="I7" s="68">
        <f>plan_statystyki!I214</f>
        <v>2.1999999999999997</v>
      </c>
      <c r="J7" s="68">
        <f>plan_statystyki!J214</f>
        <v>80</v>
      </c>
      <c r="K7" s="68">
        <f>plan_statystyki!K214</f>
        <v>3.2</v>
      </c>
      <c r="L7" s="68">
        <f>plan_statystyki!L214</f>
        <v>200</v>
      </c>
      <c r="M7" s="68">
        <f>plan_statystyki!M214</f>
        <v>8</v>
      </c>
      <c r="N7" s="68">
        <f>plan_statystyki!N214</f>
        <v>100</v>
      </c>
      <c r="O7" s="68">
        <f>plan_statystyki!O214</f>
        <v>4</v>
      </c>
      <c r="P7" s="68">
        <f>plan_statystyki!P214</f>
        <v>0</v>
      </c>
      <c r="Q7" s="68">
        <f>plan_statystyki!Q214</f>
        <v>0</v>
      </c>
      <c r="R7" s="295">
        <f>plan_statystyki!T214</f>
        <v>435</v>
      </c>
    </row>
    <row r="8" spans="1:35" x14ac:dyDescent="0.25">
      <c r="C8" s="294" t="str">
        <f>plan_statystyki!C215</f>
        <v>Semestr VI</v>
      </c>
      <c r="D8" s="68">
        <f>plan_statystyki!D215</f>
        <v>360</v>
      </c>
      <c r="E8" s="68">
        <f>plan_statystyki!E215</f>
        <v>14.399999999999999</v>
      </c>
      <c r="F8" s="68">
        <f>plan_statystyki!F215</f>
        <v>30</v>
      </c>
      <c r="G8" s="68">
        <f>plan_statystyki!G215</f>
        <v>16.666666666666664</v>
      </c>
      <c r="H8" s="68">
        <f>plan_statystyki!H215</f>
        <v>45</v>
      </c>
      <c r="I8" s="68">
        <f>plan_statystyki!I215</f>
        <v>1.7999999999999998</v>
      </c>
      <c r="J8" s="68">
        <f>plan_statystyki!J215</f>
        <v>50</v>
      </c>
      <c r="K8" s="68">
        <f>plan_statystyki!K215</f>
        <v>2</v>
      </c>
      <c r="L8" s="68">
        <f>plan_statystyki!L215</f>
        <v>165</v>
      </c>
      <c r="M8" s="68">
        <f>plan_statystyki!M215</f>
        <v>6.6000000000000005</v>
      </c>
      <c r="N8" s="68">
        <f>plan_statystyki!N215</f>
        <v>100</v>
      </c>
      <c r="O8" s="68">
        <f>plan_statystyki!O215</f>
        <v>4</v>
      </c>
      <c r="P8" s="68">
        <f>plan_statystyki!P215</f>
        <v>0</v>
      </c>
      <c r="Q8" s="68">
        <f>plan_statystyki!Q215</f>
        <v>0</v>
      </c>
      <c r="R8" s="295">
        <f>plan_statystyki!T215</f>
        <v>360</v>
      </c>
    </row>
    <row r="9" spans="1:35" x14ac:dyDescent="0.25">
      <c r="C9" s="296" t="str">
        <f>plan_statystyki!C216</f>
        <v>Cały tok kształcenia</v>
      </c>
      <c r="D9" s="297">
        <f>plan_statystyki!D216</f>
        <v>2500</v>
      </c>
      <c r="E9" s="297">
        <f>plan_statystyki!E216</f>
        <v>100</v>
      </c>
      <c r="F9" s="297">
        <f>plan_statystyki!F216</f>
        <v>180</v>
      </c>
      <c r="G9" s="297">
        <f>plan_statystyki!G216</f>
        <v>100</v>
      </c>
      <c r="H9" s="297">
        <f>plan_statystyki!H216</f>
        <v>380</v>
      </c>
      <c r="I9" s="297">
        <f>plan_statystyki!I216</f>
        <v>15.2</v>
      </c>
      <c r="J9" s="297">
        <f>plan_statystyki!J216</f>
        <v>650</v>
      </c>
      <c r="K9" s="297">
        <f>plan_statystyki!K216</f>
        <v>26</v>
      </c>
      <c r="L9" s="297">
        <f>plan_statystyki!L216</f>
        <v>1120</v>
      </c>
      <c r="M9" s="297">
        <f>plan_statystyki!M216</f>
        <v>44.800000000000004</v>
      </c>
      <c r="N9" s="297">
        <f>plan_statystyki!N216</f>
        <v>200</v>
      </c>
      <c r="O9" s="297">
        <f>plan_statystyki!O216</f>
        <v>8</v>
      </c>
      <c r="P9" s="297">
        <f>plan_statystyki!P216</f>
        <v>150</v>
      </c>
      <c r="Q9" s="297">
        <f>plan_statystyki!Q216</f>
        <v>6</v>
      </c>
      <c r="R9" s="222">
        <f>plan_statystyki!T216</f>
        <v>2500</v>
      </c>
      <c r="S9" t="s">
        <v>846</v>
      </c>
      <c r="U9" t="s">
        <v>847</v>
      </c>
    </row>
    <row r="10" spans="1:35" ht="19.899999999999999" customHeight="1" x14ac:dyDescent="0.25">
      <c r="C10" s="313" t="s">
        <v>844</v>
      </c>
      <c r="D10" s="608" t="s">
        <v>848</v>
      </c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09"/>
      <c r="P10" s="609"/>
      <c r="Q10" s="609"/>
      <c r="R10" s="610"/>
      <c r="T10" t="s">
        <v>844</v>
      </c>
      <c r="U10" t="s">
        <v>848</v>
      </c>
    </row>
    <row r="11" spans="1:35" ht="21.6" customHeight="1" x14ac:dyDescent="0.25">
      <c r="C11" s="318" t="s">
        <v>849</v>
      </c>
      <c r="D11" s="291"/>
      <c r="E11" s="291"/>
      <c r="F11" s="291"/>
      <c r="G11" s="291"/>
      <c r="H11" s="290" t="s">
        <v>850</v>
      </c>
      <c r="I11" s="290"/>
      <c r="J11" s="290" t="s">
        <v>851</v>
      </c>
      <c r="K11" s="290"/>
      <c r="L11" s="290" t="s">
        <v>852</v>
      </c>
      <c r="M11" s="290"/>
      <c r="N11" s="290" t="s">
        <v>851</v>
      </c>
      <c r="O11" s="290"/>
      <c r="P11" s="290" t="s">
        <v>850</v>
      </c>
      <c r="Q11" s="291"/>
      <c r="R11" s="66"/>
      <c r="T11" s="140" t="s">
        <v>849</v>
      </c>
      <c r="U11" s="140"/>
      <c r="V11" s="140"/>
      <c r="W11" s="140"/>
      <c r="X11" s="140"/>
      <c r="Y11" s="140" t="s">
        <v>850</v>
      </c>
      <c r="Z11" s="140"/>
      <c r="AA11" s="140" t="s">
        <v>851</v>
      </c>
      <c r="AB11" s="140"/>
      <c r="AC11" s="140" t="s">
        <v>852</v>
      </c>
      <c r="AD11" s="140"/>
      <c r="AE11" s="140" t="s">
        <v>851</v>
      </c>
      <c r="AF11" s="140"/>
      <c r="AG11" s="140" t="s">
        <v>850</v>
      </c>
    </row>
    <row r="12" spans="1:35" x14ac:dyDescent="0.25">
      <c r="C12" s="298"/>
      <c r="D12" s="7" t="s">
        <v>204</v>
      </c>
      <c r="E12" s="7" t="s">
        <v>205</v>
      </c>
      <c r="F12" s="7" t="s">
        <v>8</v>
      </c>
      <c r="G12" s="7" t="s">
        <v>853</v>
      </c>
      <c r="H12" s="7" t="s">
        <v>206</v>
      </c>
      <c r="I12" s="7" t="s">
        <v>205</v>
      </c>
      <c r="J12" s="7" t="s">
        <v>207</v>
      </c>
      <c r="K12" s="7" t="s">
        <v>205</v>
      </c>
      <c r="L12" s="7" t="s">
        <v>208</v>
      </c>
      <c r="M12" s="7" t="s">
        <v>205</v>
      </c>
      <c r="N12" s="7" t="s">
        <v>209</v>
      </c>
      <c r="O12" s="7" t="s">
        <v>205</v>
      </c>
      <c r="P12" s="7" t="s">
        <v>184</v>
      </c>
      <c r="Q12" s="7" t="s">
        <v>205</v>
      </c>
      <c r="R12" s="300" t="s">
        <v>211</v>
      </c>
      <c r="U12" t="s">
        <v>204</v>
      </c>
      <c r="V12" t="s">
        <v>205</v>
      </c>
      <c r="W12" t="s">
        <v>8</v>
      </c>
      <c r="X12" t="s">
        <v>853</v>
      </c>
      <c r="Y12" t="s">
        <v>206</v>
      </c>
      <c r="Z12" t="s">
        <v>205</v>
      </c>
      <c r="AA12" t="s">
        <v>207</v>
      </c>
      <c r="AB12" t="s">
        <v>205</v>
      </c>
      <c r="AC12" t="s">
        <v>208</v>
      </c>
      <c r="AD12" t="s">
        <v>205</v>
      </c>
      <c r="AE12" t="s">
        <v>209</v>
      </c>
      <c r="AF12" t="s">
        <v>205</v>
      </c>
      <c r="AG12" t="s">
        <v>184</v>
      </c>
      <c r="AH12" t="s">
        <v>205</v>
      </c>
      <c r="AI12" s="68" t="s">
        <v>211</v>
      </c>
    </row>
    <row r="13" spans="1:35" ht="19.899999999999999" customHeight="1" x14ac:dyDescent="0.25">
      <c r="C13" s="314" t="str">
        <f>C9</f>
        <v>Cały tok kształcenia</v>
      </c>
      <c r="D13" s="315"/>
      <c r="E13" s="315"/>
      <c r="F13" s="315"/>
      <c r="G13" s="315"/>
      <c r="H13" s="315">
        <f>H9</f>
        <v>380</v>
      </c>
      <c r="I13" s="315"/>
      <c r="J13" s="315">
        <f>J9*4</f>
        <v>2600</v>
      </c>
      <c r="K13" s="315"/>
      <c r="L13" s="315">
        <f>L9*2</f>
        <v>2240</v>
      </c>
      <c r="M13" s="315"/>
      <c r="N13" s="315">
        <f>N9*4</f>
        <v>800</v>
      </c>
      <c r="O13" s="315"/>
      <c r="P13" s="315">
        <f>P9</f>
        <v>150</v>
      </c>
      <c r="Q13" s="315"/>
      <c r="R13" s="316">
        <v>6539</v>
      </c>
      <c r="T13" s="68" t="s">
        <v>222</v>
      </c>
      <c r="U13" s="68"/>
      <c r="V13" s="68"/>
      <c r="W13" s="68"/>
      <c r="X13" s="68"/>
      <c r="Y13" s="68">
        <v>415</v>
      </c>
      <c r="Z13" s="68"/>
      <c r="AA13" s="68">
        <v>3420</v>
      </c>
      <c r="AB13" s="68"/>
      <c r="AC13" s="68">
        <v>1754</v>
      </c>
      <c r="AD13" s="68"/>
      <c r="AE13" s="68">
        <v>800</v>
      </c>
      <c r="AF13" s="68"/>
      <c r="AG13" s="68">
        <v>150</v>
      </c>
      <c r="AH13" s="68"/>
      <c r="AI13" s="320">
        <v>6539</v>
      </c>
    </row>
    <row r="14" spans="1:35" ht="21.6" customHeight="1" x14ac:dyDescent="0.25">
      <c r="C14" s="318" t="s">
        <v>854</v>
      </c>
      <c r="D14" s="291"/>
      <c r="E14" s="291"/>
      <c r="F14" s="291"/>
      <c r="G14" s="291"/>
      <c r="H14" s="290" t="s">
        <v>855</v>
      </c>
      <c r="I14" s="290"/>
      <c r="J14" s="290" t="s">
        <v>856</v>
      </c>
      <c r="K14" s="290"/>
      <c r="L14" s="290" t="s">
        <v>857</v>
      </c>
      <c r="M14" s="290"/>
      <c r="N14" s="290" t="s">
        <v>856</v>
      </c>
      <c r="O14" s="290"/>
      <c r="P14" s="290" t="s">
        <v>855</v>
      </c>
      <c r="Q14" s="291"/>
      <c r="R14" s="317"/>
      <c r="T14" s="140" t="s">
        <v>854</v>
      </c>
      <c r="U14" s="140"/>
      <c r="V14" s="140"/>
      <c r="W14" s="140"/>
      <c r="X14" s="140"/>
      <c r="Y14" s="140" t="s">
        <v>855</v>
      </c>
      <c r="Z14" s="140"/>
      <c r="AA14" s="140" t="s">
        <v>856</v>
      </c>
      <c r="AB14" s="140"/>
      <c r="AC14" s="140" t="s">
        <v>857</v>
      </c>
      <c r="AD14" s="140"/>
      <c r="AE14" s="289" t="s">
        <v>858</v>
      </c>
      <c r="AF14" s="140"/>
      <c r="AG14" s="140" t="s">
        <v>855</v>
      </c>
      <c r="AI14" s="12"/>
    </row>
    <row r="15" spans="1:35" x14ac:dyDescent="0.25">
      <c r="C15" s="298"/>
      <c r="D15" s="7" t="s">
        <v>204</v>
      </c>
      <c r="E15" s="7" t="s">
        <v>205</v>
      </c>
      <c r="F15" s="7" t="s">
        <v>8</v>
      </c>
      <c r="G15" s="7" t="s">
        <v>853</v>
      </c>
      <c r="H15" s="7" t="s">
        <v>206</v>
      </c>
      <c r="I15" s="7" t="s">
        <v>205</v>
      </c>
      <c r="J15" s="7" t="s">
        <v>207</v>
      </c>
      <c r="K15" s="7" t="s">
        <v>205</v>
      </c>
      <c r="L15" s="7" t="s">
        <v>208</v>
      </c>
      <c r="M15" s="7" t="s">
        <v>205</v>
      </c>
      <c r="N15" s="7" t="s">
        <v>209</v>
      </c>
      <c r="O15" s="7" t="s">
        <v>205</v>
      </c>
      <c r="P15" s="7" t="s">
        <v>184</v>
      </c>
      <c r="Q15" s="7" t="s">
        <v>205</v>
      </c>
      <c r="R15" s="300" t="s">
        <v>211</v>
      </c>
      <c r="U15" t="s">
        <v>204</v>
      </c>
      <c r="V15" t="s">
        <v>205</v>
      </c>
      <c r="W15" t="s">
        <v>8</v>
      </c>
      <c r="X15" t="s">
        <v>853</v>
      </c>
      <c r="Y15" t="s">
        <v>206</v>
      </c>
      <c r="Z15" t="s">
        <v>205</v>
      </c>
      <c r="AA15" t="s">
        <v>207</v>
      </c>
      <c r="AB15" t="s">
        <v>205</v>
      </c>
      <c r="AC15" t="s">
        <v>208</v>
      </c>
      <c r="AD15" t="s">
        <v>205</v>
      </c>
      <c r="AE15" t="s">
        <v>209</v>
      </c>
      <c r="AF15" t="s">
        <v>205</v>
      </c>
      <c r="AG15" t="s">
        <v>184</v>
      </c>
      <c r="AH15" t="s">
        <v>205</v>
      </c>
      <c r="AI15" t="s">
        <v>211</v>
      </c>
    </row>
    <row r="16" spans="1:35" x14ac:dyDescent="0.25">
      <c r="C16" s="314" t="str">
        <f>C9</f>
        <v>Cały tok kształcenia</v>
      </c>
      <c r="D16" s="315"/>
      <c r="E16" s="315"/>
      <c r="F16" s="315"/>
      <c r="G16" s="315"/>
      <c r="H16" s="315">
        <f>H9</f>
        <v>380</v>
      </c>
      <c r="I16" s="315"/>
      <c r="J16" s="315">
        <f>J9*6</f>
        <v>3900</v>
      </c>
      <c r="K16" s="315"/>
      <c r="L16" s="315">
        <f>L9*2</f>
        <v>2240</v>
      </c>
      <c r="M16" s="315"/>
      <c r="N16" s="315">
        <f>N9*6</f>
        <v>1200</v>
      </c>
      <c r="O16" s="315"/>
      <c r="P16" s="315">
        <f>P9</f>
        <v>150</v>
      </c>
      <c r="Q16" s="315"/>
      <c r="R16" s="316">
        <f>SUM(D16:Q16)</f>
        <v>7870</v>
      </c>
      <c r="T16" s="68" t="s">
        <v>222</v>
      </c>
      <c r="U16" s="68"/>
      <c r="V16" s="68"/>
      <c r="W16" s="68"/>
      <c r="X16" s="68"/>
      <c r="Y16" s="68">
        <v>415</v>
      </c>
      <c r="Z16" s="68"/>
      <c r="AA16" s="68">
        <v>5130</v>
      </c>
      <c r="AB16" s="68"/>
      <c r="AC16" s="68">
        <v>1754</v>
      </c>
      <c r="AD16" s="68"/>
      <c r="AE16" s="321">
        <f>N9*3</f>
        <v>600</v>
      </c>
      <c r="AF16" s="68"/>
      <c r="AG16" s="68">
        <v>150</v>
      </c>
      <c r="AH16" s="68"/>
      <c r="AI16" s="320">
        <f>SUM(V16:AH16)</f>
        <v>8049</v>
      </c>
    </row>
    <row r="17" spans="3:35" x14ac:dyDescent="0.25">
      <c r="C17" s="301" t="s">
        <v>859</v>
      </c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3" t="s">
        <v>860</v>
      </c>
      <c r="R17" s="304">
        <f>R16-R13</f>
        <v>1331</v>
      </c>
      <c r="T17" s="140" t="s">
        <v>859</v>
      </c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 t="s">
        <v>860</v>
      </c>
      <c r="AI17" s="166">
        <f>AI16-AI13</f>
        <v>1510</v>
      </c>
    </row>
    <row r="18" spans="3:35" x14ac:dyDescent="0.25">
      <c r="C18" s="313" t="s">
        <v>861</v>
      </c>
      <c r="D18" s="605" t="s">
        <v>862</v>
      </c>
      <c r="E18" s="606"/>
      <c r="F18" s="606"/>
      <c r="G18" s="606"/>
      <c r="H18" s="606"/>
      <c r="I18" s="606"/>
      <c r="J18" s="606"/>
      <c r="K18" s="606"/>
      <c r="L18" s="606"/>
      <c r="M18" s="606"/>
      <c r="N18" s="606"/>
      <c r="O18" s="606"/>
      <c r="P18" s="606"/>
      <c r="Q18" s="606"/>
      <c r="R18" s="607"/>
    </row>
    <row r="19" spans="3:35" ht="30.6" customHeight="1" x14ac:dyDescent="0.25">
      <c r="C19" s="299"/>
      <c r="D19" s="7" t="s">
        <v>204</v>
      </c>
      <c r="E19" s="7" t="s">
        <v>205</v>
      </c>
      <c r="F19" s="7" t="s">
        <v>8</v>
      </c>
      <c r="G19" s="7" t="s">
        <v>853</v>
      </c>
      <c r="H19" s="7" t="s">
        <v>206</v>
      </c>
      <c r="I19" s="7" t="s">
        <v>205</v>
      </c>
      <c r="J19" s="7" t="s">
        <v>207</v>
      </c>
      <c r="K19" s="7" t="s">
        <v>205</v>
      </c>
      <c r="L19" s="7" t="s">
        <v>208</v>
      </c>
      <c r="M19" s="7" t="s">
        <v>205</v>
      </c>
      <c r="N19" s="7" t="s">
        <v>209</v>
      </c>
      <c r="O19" s="7" t="s">
        <v>205</v>
      </c>
      <c r="P19" s="7" t="s">
        <v>184</v>
      </c>
      <c r="Q19" s="7" t="s">
        <v>205</v>
      </c>
      <c r="R19" s="300" t="s">
        <v>211</v>
      </c>
    </row>
    <row r="20" spans="3:35" x14ac:dyDescent="0.25">
      <c r="C20" s="298" t="s">
        <v>212</v>
      </c>
      <c r="D20">
        <v>414</v>
      </c>
      <c r="E20" s="68">
        <v>24.864864864864867</v>
      </c>
      <c r="F20" s="68">
        <v>30</v>
      </c>
      <c r="G20" s="68">
        <v>25</v>
      </c>
      <c r="H20" s="68">
        <v>84</v>
      </c>
      <c r="I20" s="68">
        <v>5.045045045045045</v>
      </c>
      <c r="J20" s="68">
        <v>150</v>
      </c>
      <c r="K20" s="68">
        <v>9.0090090090090094</v>
      </c>
      <c r="L20" s="68">
        <v>180</v>
      </c>
      <c r="M20" s="68">
        <v>10.810810810810811</v>
      </c>
      <c r="N20" s="68">
        <v>0</v>
      </c>
      <c r="O20" s="68">
        <v>0</v>
      </c>
      <c r="P20" s="68">
        <v>0</v>
      </c>
      <c r="Q20" s="68">
        <v>0</v>
      </c>
      <c r="R20" s="220">
        <v>414</v>
      </c>
    </row>
    <row r="21" spans="3:35" x14ac:dyDescent="0.25">
      <c r="C21" s="298" t="s">
        <v>213</v>
      </c>
      <c r="D21">
        <v>455</v>
      </c>
      <c r="E21" s="68">
        <v>27.327327327327328</v>
      </c>
      <c r="F21" s="68">
        <v>30</v>
      </c>
      <c r="G21" s="68">
        <v>25</v>
      </c>
      <c r="H21" s="68">
        <v>65</v>
      </c>
      <c r="I21" s="68">
        <v>3.9039039039039038</v>
      </c>
      <c r="J21" s="68">
        <v>145</v>
      </c>
      <c r="K21" s="68">
        <v>8.7087087087087074</v>
      </c>
      <c r="L21" s="68">
        <v>155</v>
      </c>
      <c r="M21" s="68">
        <v>9.3093093093093096</v>
      </c>
      <c r="N21" s="68">
        <v>40</v>
      </c>
      <c r="O21" s="68">
        <v>2.4024024024024024</v>
      </c>
      <c r="P21" s="68">
        <v>50</v>
      </c>
      <c r="Q21" s="68">
        <v>3.0030030030030028</v>
      </c>
      <c r="R21" s="220">
        <v>455</v>
      </c>
    </row>
    <row r="22" spans="3:35" x14ac:dyDescent="0.25">
      <c r="C22" s="298" t="s">
        <v>214</v>
      </c>
      <c r="D22">
        <v>440</v>
      </c>
      <c r="E22" s="68">
        <v>26.426426426426424</v>
      </c>
      <c r="F22" s="68">
        <v>30</v>
      </c>
      <c r="G22" s="68">
        <v>25</v>
      </c>
      <c r="H22" s="68">
        <v>40</v>
      </c>
      <c r="I22" s="68">
        <v>2.4024024024024024</v>
      </c>
      <c r="J22" s="68">
        <v>125</v>
      </c>
      <c r="K22" s="68">
        <v>7.5075075075075075</v>
      </c>
      <c r="L22" s="68">
        <v>165</v>
      </c>
      <c r="M22" s="68">
        <v>9.9099099099099099</v>
      </c>
      <c r="N22" s="68">
        <v>60</v>
      </c>
      <c r="O22" s="68">
        <v>3.6036036036036037</v>
      </c>
      <c r="P22" s="68">
        <v>50</v>
      </c>
      <c r="Q22" s="68">
        <v>3.0030030030030028</v>
      </c>
      <c r="R22" s="220">
        <v>440</v>
      </c>
    </row>
    <row r="23" spans="3:35" x14ac:dyDescent="0.25">
      <c r="C23" s="298" t="s">
        <v>215</v>
      </c>
      <c r="D23">
        <v>356</v>
      </c>
      <c r="E23" s="68">
        <v>21.381381381381381</v>
      </c>
      <c r="F23" s="68">
        <v>30</v>
      </c>
      <c r="G23" s="68">
        <v>25</v>
      </c>
      <c r="H23" s="68">
        <v>35</v>
      </c>
      <c r="I23" s="68">
        <v>2.1021021021021022</v>
      </c>
      <c r="J23" s="68">
        <v>191</v>
      </c>
      <c r="K23" s="68">
        <v>11.471471471471471</v>
      </c>
      <c r="L23" s="68">
        <v>130</v>
      </c>
      <c r="M23" s="68">
        <v>7.8078078078078077</v>
      </c>
      <c r="N23" s="68">
        <v>0</v>
      </c>
      <c r="O23" s="68">
        <v>0</v>
      </c>
      <c r="P23" s="68">
        <v>0</v>
      </c>
      <c r="Q23" s="68">
        <v>0</v>
      </c>
      <c r="R23" s="220">
        <v>356</v>
      </c>
    </row>
    <row r="24" spans="3:35" x14ac:dyDescent="0.25">
      <c r="C24" s="301" t="s">
        <v>222</v>
      </c>
      <c r="D24" s="302">
        <v>1665</v>
      </c>
      <c r="E24" s="297">
        <v>100</v>
      </c>
      <c r="F24" s="297">
        <v>120</v>
      </c>
      <c r="G24" s="297">
        <v>100</v>
      </c>
      <c r="H24" s="297">
        <v>224</v>
      </c>
      <c r="I24" s="297">
        <v>13.453453453453454</v>
      </c>
      <c r="J24" s="297">
        <v>611</v>
      </c>
      <c r="K24" s="297">
        <v>36.696696696696698</v>
      </c>
      <c r="L24" s="297">
        <v>630</v>
      </c>
      <c r="M24" s="297">
        <v>37.837837837837839</v>
      </c>
      <c r="N24" s="297">
        <v>100</v>
      </c>
      <c r="O24" s="297">
        <v>6.0060060060060056</v>
      </c>
      <c r="P24" s="297">
        <v>100</v>
      </c>
      <c r="Q24" s="297">
        <v>6.0060060060060056</v>
      </c>
      <c r="R24" s="221">
        <v>1665</v>
      </c>
    </row>
    <row r="25" spans="3:35" ht="18.600000000000001" customHeight="1" x14ac:dyDescent="0.25">
      <c r="C25" s="313" t="s">
        <v>861</v>
      </c>
      <c r="D25" s="608" t="s">
        <v>848</v>
      </c>
      <c r="E25" s="609"/>
      <c r="F25" s="609"/>
      <c r="G25" s="609"/>
      <c r="H25" s="609"/>
      <c r="I25" s="609"/>
      <c r="J25" s="609"/>
      <c r="K25" s="609"/>
      <c r="L25" s="609"/>
      <c r="M25" s="609"/>
      <c r="N25" s="609"/>
      <c r="O25" s="609"/>
      <c r="P25" s="609"/>
      <c r="Q25" s="609"/>
      <c r="R25" s="610"/>
    </row>
    <row r="26" spans="3:35" ht="21" customHeight="1" x14ac:dyDescent="0.25">
      <c r="C26" s="318" t="s">
        <v>863</v>
      </c>
      <c r="D26" s="291"/>
      <c r="E26" s="291"/>
      <c r="F26" s="291"/>
      <c r="G26" s="291"/>
      <c r="H26" s="290" t="s">
        <v>864</v>
      </c>
      <c r="I26" s="290"/>
      <c r="J26" s="290" t="s">
        <v>865</v>
      </c>
      <c r="K26" s="290"/>
      <c r="L26" s="290" t="s">
        <v>864</v>
      </c>
      <c r="M26" s="290"/>
      <c r="N26" s="290" t="s">
        <v>865</v>
      </c>
      <c r="O26" s="290"/>
      <c r="P26" s="290" t="s">
        <v>864</v>
      </c>
      <c r="Q26" s="291"/>
      <c r="R26" s="66"/>
      <c r="T26" s="140" t="s">
        <v>863</v>
      </c>
      <c r="U26" s="140"/>
      <c r="V26" s="140"/>
      <c r="W26" s="140"/>
      <c r="X26" s="140"/>
      <c r="Y26" s="140" t="s">
        <v>864</v>
      </c>
      <c r="Z26" s="140"/>
      <c r="AA26" s="140" t="s">
        <v>865</v>
      </c>
      <c r="AB26" s="140"/>
      <c r="AC26" s="140" t="s">
        <v>864</v>
      </c>
      <c r="AD26" s="140"/>
      <c r="AE26" s="140" t="s">
        <v>865</v>
      </c>
      <c r="AF26" s="140"/>
      <c r="AG26" s="140" t="s">
        <v>864</v>
      </c>
    </row>
    <row r="27" spans="3:35" ht="19.149999999999999" customHeight="1" x14ac:dyDescent="0.25">
      <c r="C27" s="299"/>
      <c r="D27" s="7" t="s">
        <v>204</v>
      </c>
      <c r="E27" s="7" t="s">
        <v>205</v>
      </c>
      <c r="F27" s="7" t="s">
        <v>8</v>
      </c>
      <c r="G27" s="7" t="s">
        <v>853</v>
      </c>
      <c r="H27" s="7" t="s">
        <v>206</v>
      </c>
      <c r="I27" s="7" t="s">
        <v>205</v>
      </c>
      <c r="J27" s="7" t="s">
        <v>207</v>
      </c>
      <c r="K27" s="7" t="s">
        <v>205</v>
      </c>
      <c r="L27" s="7" t="s">
        <v>208</v>
      </c>
      <c r="M27" s="7" t="s">
        <v>205</v>
      </c>
      <c r="N27" s="7" t="s">
        <v>209</v>
      </c>
      <c r="O27" s="7" t="s">
        <v>205</v>
      </c>
      <c r="P27" s="7" t="s">
        <v>184</v>
      </c>
      <c r="Q27" s="7" t="s">
        <v>205</v>
      </c>
      <c r="R27" s="300" t="s">
        <v>211</v>
      </c>
      <c r="U27" t="s">
        <v>204</v>
      </c>
      <c r="V27" t="s">
        <v>205</v>
      </c>
      <c r="W27" t="s">
        <v>8</v>
      </c>
      <c r="X27" t="s">
        <v>853</v>
      </c>
      <c r="Y27" t="s">
        <v>206</v>
      </c>
      <c r="Z27" t="s">
        <v>205</v>
      </c>
      <c r="AA27" t="s">
        <v>207</v>
      </c>
      <c r="AB27" t="s">
        <v>205</v>
      </c>
      <c r="AC27" t="s">
        <v>208</v>
      </c>
      <c r="AD27" t="s">
        <v>205</v>
      </c>
      <c r="AE27" t="s">
        <v>209</v>
      </c>
      <c r="AF27" t="s">
        <v>205</v>
      </c>
      <c r="AG27" t="s">
        <v>184</v>
      </c>
      <c r="AH27" t="s">
        <v>205</v>
      </c>
      <c r="AI27" t="s">
        <v>211</v>
      </c>
    </row>
    <row r="28" spans="3:35" x14ac:dyDescent="0.25">
      <c r="C28" s="301" t="s">
        <v>222</v>
      </c>
      <c r="D28" s="302"/>
      <c r="E28" s="302"/>
      <c r="F28" s="302"/>
      <c r="G28" s="302"/>
      <c r="H28" s="302">
        <v>224</v>
      </c>
      <c r="I28" s="302"/>
      <c r="J28" s="302">
        <v>1833</v>
      </c>
      <c r="K28" s="302"/>
      <c r="L28" s="302">
        <v>630</v>
      </c>
      <c r="M28" s="302"/>
      <c r="N28" s="302">
        <v>300</v>
      </c>
      <c r="O28" s="302"/>
      <c r="P28" s="302">
        <v>100</v>
      </c>
      <c r="Q28" s="302"/>
      <c r="R28" s="316">
        <f>SUM(D28:Q28)</f>
        <v>3087</v>
      </c>
      <c r="T28" t="s">
        <v>222</v>
      </c>
      <c r="Y28">
        <v>224</v>
      </c>
      <c r="AA28">
        <v>1833</v>
      </c>
      <c r="AC28">
        <v>630</v>
      </c>
      <c r="AE28">
        <v>300</v>
      </c>
      <c r="AG28">
        <v>100</v>
      </c>
      <c r="AI28" s="316">
        <f>SUM(U28:AH28)</f>
        <v>3087</v>
      </c>
    </row>
    <row r="29" spans="3:35" ht="18.600000000000001" customHeight="1" x14ac:dyDescent="0.25">
      <c r="C29" s="318" t="s">
        <v>866</v>
      </c>
      <c r="D29" s="291"/>
      <c r="E29" s="291"/>
      <c r="F29" s="291"/>
      <c r="G29" s="291"/>
      <c r="H29" s="290" t="s">
        <v>867</v>
      </c>
      <c r="I29" s="290"/>
      <c r="J29" s="290" t="s">
        <v>868</v>
      </c>
      <c r="K29" s="290"/>
      <c r="L29" s="290" t="s">
        <v>867</v>
      </c>
      <c r="M29" s="290"/>
      <c r="N29" s="290" t="s">
        <v>868</v>
      </c>
      <c r="O29" s="290"/>
      <c r="P29" s="290" t="s">
        <v>867</v>
      </c>
      <c r="Q29" s="291"/>
      <c r="R29" s="66"/>
      <c r="T29" s="140" t="s">
        <v>866</v>
      </c>
      <c r="U29" s="140"/>
      <c r="V29" s="140"/>
      <c r="W29" s="140"/>
      <c r="X29" s="140"/>
      <c r="Y29" s="140" t="s">
        <v>867</v>
      </c>
      <c r="Z29" s="140"/>
      <c r="AA29" s="140" t="s">
        <v>868</v>
      </c>
      <c r="AB29" s="140"/>
      <c r="AC29" s="140" t="s">
        <v>867</v>
      </c>
      <c r="AD29" s="140"/>
      <c r="AE29" s="289" t="s">
        <v>867</v>
      </c>
      <c r="AF29" s="140"/>
      <c r="AG29" s="140" t="s">
        <v>867</v>
      </c>
    </row>
    <row r="30" spans="3:35" ht="18" customHeight="1" x14ac:dyDescent="0.25">
      <c r="C30" s="299"/>
      <c r="D30" s="7" t="s">
        <v>204</v>
      </c>
      <c r="E30" s="7" t="s">
        <v>205</v>
      </c>
      <c r="F30" s="7" t="s">
        <v>8</v>
      </c>
      <c r="G30" s="7" t="s">
        <v>853</v>
      </c>
      <c r="H30" s="7" t="s">
        <v>206</v>
      </c>
      <c r="I30" s="7" t="s">
        <v>205</v>
      </c>
      <c r="J30" s="7" t="s">
        <v>207</v>
      </c>
      <c r="K30" s="7" t="s">
        <v>205</v>
      </c>
      <c r="L30" s="7" t="s">
        <v>208</v>
      </c>
      <c r="M30" s="7" t="s">
        <v>205</v>
      </c>
      <c r="N30" s="7" t="s">
        <v>209</v>
      </c>
      <c r="O30" s="7" t="s">
        <v>205</v>
      </c>
      <c r="P30" s="7" t="s">
        <v>184</v>
      </c>
      <c r="Q30" s="7" t="s">
        <v>205</v>
      </c>
      <c r="R30" s="300" t="s">
        <v>211</v>
      </c>
      <c r="U30" t="s">
        <v>204</v>
      </c>
      <c r="V30" t="s">
        <v>205</v>
      </c>
      <c r="W30" t="s">
        <v>8</v>
      </c>
      <c r="X30" t="s">
        <v>853</v>
      </c>
      <c r="Y30" t="s">
        <v>206</v>
      </c>
      <c r="Z30" t="s">
        <v>205</v>
      </c>
      <c r="AA30" t="s">
        <v>207</v>
      </c>
      <c r="AB30" t="s">
        <v>205</v>
      </c>
      <c r="AC30" t="s">
        <v>208</v>
      </c>
      <c r="AD30" t="s">
        <v>205</v>
      </c>
      <c r="AE30" t="s">
        <v>209</v>
      </c>
      <c r="AF30" t="s">
        <v>205</v>
      </c>
      <c r="AG30" t="s">
        <v>184</v>
      </c>
      <c r="AH30" t="s">
        <v>205</v>
      </c>
      <c r="AI30" t="s">
        <v>211</v>
      </c>
    </row>
    <row r="31" spans="3:35" x14ac:dyDescent="0.25">
      <c r="C31" s="301" t="s">
        <v>222</v>
      </c>
      <c r="D31" s="302"/>
      <c r="E31" s="302"/>
      <c r="F31" s="302"/>
      <c r="G31" s="302"/>
      <c r="H31" s="302">
        <v>224</v>
      </c>
      <c r="I31" s="302"/>
      <c r="J31" s="302">
        <v>1222</v>
      </c>
      <c r="K31" s="302"/>
      <c r="L31" s="302">
        <v>630</v>
      </c>
      <c r="M31" s="302"/>
      <c r="N31" s="302">
        <v>200</v>
      </c>
      <c r="O31" s="302"/>
      <c r="P31" s="302">
        <v>100</v>
      </c>
      <c r="Q31" s="302"/>
      <c r="R31" s="316">
        <f>SUM(D31:Q31)</f>
        <v>2376</v>
      </c>
      <c r="T31" t="s">
        <v>222</v>
      </c>
      <c r="Y31">
        <v>224</v>
      </c>
      <c r="AA31">
        <v>1222</v>
      </c>
      <c r="AC31">
        <v>630</v>
      </c>
      <c r="AE31" s="321">
        <f>N24</f>
        <v>100</v>
      </c>
      <c r="AG31">
        <v>100</v>
      </c>
      <c r="AI31" s="316">
        <f>SUM(U31:AH31)</f>
        <v>2276</v>
      </c>
    </row>
    <row r="32" spans="3:35" x14ac:dyDescent="0.25">
      <c r="C32" s="301" t="s">
        <v>859</v>
      </c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3" t="s">
        <v>869</v>
      </c>
      <c r="R32" s="304">
        <f>R28-R31</f>
        <v>711</v>
      </c>
      <c r="T32" s="140" t="s">
        <v>859</v>
      </c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 t="s">
        <v>869</v>
      </c>
      <c r="AI32" s="140">
        <f>AI28-AI31</f>
        <v>811</v>
      </c>
    </row>
    <row r="33" spans="3:35" ht="27" customHeight="1" x14ac:dyDescent="0.25">
      <c r="C33" s="319" t="s">
        <v>870</v>
      </c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6" t="s">
        <v>860</v>
      </c>
      <c r="R33" s="307">
        <f>R17-R32</f>
        <v>620</v>
      </c>
      <c r="T33" s="289" t="s">
        <v>870</v>
      </c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 t="s">
        <v>860</v>
      </c>
      <c r="AI33" s="321">
        <f>AI17-AI32</f>
        <v>699</v>
      </c>
    </row>
    <row r="35" spans="3:35" x14ac:dyDescent="0.25">
      <c r="AI35" s="68">
        <f>R33-AI33</f>
        <v>-79</v>
      </c>
    </row>
  </sheetData>
  <mergeCells count="4">
    <mergeCell ref="D1:R1"/>
    <mergeCell ref="D18:R18"/>
    <mergeCell ref="D10:R10"/>
    <mergeCell ref="D25:R25"/>
  </mergeCells>
  <pageMargins left="0.7" right="0.7" top="0.75" bottom="0.75" header="0.3" footer="0.3"/>
  <pageSetup paperSize="9" scale="3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64"/>
  <sheetViews>
    <sheetView workbookViewId="0">
      <selection activeCell="A165" sqref="A165:XFD169"/>
    </sheetView>
  </sheetViews>
  <sheetFormatPr defaultRowHeight="15" x14ac:dyDescent="0.25"/>
  <cols>
    <col min="1" max="1" width="45.7109375" style="2" customWidth="1"/>
    <col min="2" max="2" width="25.5703125" style="95" customWidth="1"/>
  </cols>
  <sheetData>
    <row r="1" spans="1:2" x14ac:dyDescent="0.25">
      <c r="A1" s="4" t="str">
        <f>plan_statystyki!C7</f>
        <v>Anatomia</v>
      </c>
      <c r="B1" s="95" t="str">
        <f>plan_statystyki!AI7</f>
        <v xml:space="preserve"> minus 10h sem</v>
      </c>
    </row>
    <row r="2" spans="1:2" x14ac:dyDescent="0.25">
      <c r="A2" s="4" t="str">
        <f>plan_statystyki!C8</f>
        <v>Biologia z genetyką</v>
      </c>
      <c r="B2" s="95">
        <f>plan_statystyki!AI8</f>
        <v>0</v>
      </c>
    </row>
    <row r="3" spans="1:2" x14ac:dyDescent="0.25">
      <c r="A3" s="4" t="str">
        <f>plan_statystyki!C9</f>
        <v>Histologia</v>
      </c>
      <c r="B3" s="95" t="str">
        <f>plan_statystyki!AI9</f>
        <v>5 cw na sem</v>
      </c>
    </row>
    <row r="4" spans="1:2" x14ac:dyDescent="0.25">
      <c r="A4" s="4" t="str">
        <f>plan_statystyki!C10</f>
        <v>Podstawy ratownictwa medycznego</v>
      </c>
      <c r="B4" s="95">
        <f>plan_statystyki!AI10</f>
        <v>0</v>
      </c>
    </row>
    <row r="5" spans="1:2" x14ac:dyDescent="0.25">
      <c r="A5" s="4" t="str">
        <f>plan_statystyki!C13</f>
        <v>Kosmetologia pielęgnacyjna/cz.1</v>
      </c>
      <c r="B5" s="95" t="str">
        <f>plan_statystyki!AI13</f>
        <v>5 cw na sem</v>
      </c>
    </row>
    <row r="6" spans="1:2" x14ac:dyDescent="0.25">
      <c r="A6" s="4" t="str">
        <f>plan_statystyki!C14</f>
        <v>Wprowadzenie do oceny właściwości surowców kosmetycznych</v>
      </c>
      <c r="B6" s="95" t="str">
        <f>plan_statystyki!AI14</f>
        <v>minus 10 cw/ -20%</v>
      </c>
    </row>
    <row r="7" spans="1:2" x14ac:dyDescent="0.25">
      <c r="A7" s="4" t="str">
        <f>plan_statystyki!C15</f>
        <v>Chemia kosmetyczna</v>
      </c>
      <c r="B7" s="95" t="str">
        <f>plan_statystyki!AI15</f>
        <v>minus 10 cw/20%.</v>
      </c>
    </row>
    <row r="8" spans="1:2" x14ac:dyDescent="0.25">
      <c r="A8" s="4" t="str">
        <f>plan_statystyki!C18</f>
        <v>Podstawy ergonomii i BHP/Ocena narażenia zawodowego i BHP "do wyboru"</v>
      </c>
      <c r="B8" s="95">
        <f>plan_statystyki!AI18</f>
        <v>0</v>
      </c>
    </row>
    <row r="9" spans="1:2" x14ac:dyDescent="0.25">
      <c r="A9" s="4" t="str">
        <f>plan_statystyki!C19</f>
        <v>Kształtowanie sylwetki i postawy ciała/Ćwiczenia fitness "do wyboru"/cz.1</v>
      </c>
      <c r="B9" s="95">
        <f>plan_statystyki!AI19</f>
        <v>0</v>
      </c>
    </row>
    <row r="10" spans="1:2" x14ac:dyDescent="0.25">
      <c r="A10" s="4" t="str">
        <f>plan_statystyki!C20</f>
        <v>Technologie informacyjne</v>
      </c>
      <c r="B10" s="95">
        <f>plan_statystyki!AI20</f>
        <v>0</v>
      </c>
    </row>
    <row r="11" spans="1:2" x14ac:dyDescent="0.25">
      <c r="A11" s="4" t="str">
        <f>plan_statystyki!C21</f>
        <v>Botanika w kosmetologii</v>
      </c>
      <c r="B11" s="95" t="str">
        <f>plan_statystyki!AI21</f>
        <v>5 cw na sem</v>
      </c>
    </row>
    <row r="12" spans="1:2" x14ac:dyDescent="0.25">
      <c r="A12" s="4" t="str">
        <f>plan_statystyki!C28</f>
        <v>Historia kosmetologii</v>
      </c>
      <c r="B12" s="95">
        <f>plan_statystyki!AI28</f>
        <v>0</v>
      </c>
    </row>
    <row r="13" spans="1:2" x14ac:dyDescent="0.25">
      <c r="A13" s="4" t="str">
        <f>plan_statystyki!C29</f>
        <v>Etykieta i komunikacja interpersonalna</v>
      </c>
      <c r="B13" s="95">
        <f>plan_statystyki!AI29</f>
        <v>0</v>
      </c>
    </row>
    <row r="14" spans="1:2" x14ac:dyDescent="0.25">
      <c r="A14" s="4" t="str">
        <f>plan_statystyki!C32</f>
        <v>Fakultety wolne - do wyboru  4 ECTS</v>
      </c>
      <c r="B14" s="95">
        <f>plan_statystyki!AI32</f>
        <v>60</v>
      </c>
    </row>
    <row r="15" spans="1:2" x14ac:dyDescent="0.25">
      <c r="A15" s="4" t="str">
        <f>plan_statystyki!C41</f>
        <v>Biochemia</v>
      </c>
      <c r="B15" s="95" t="str">
        <f>plan_statystyki!AI41</f>
        <v>5 cw na sem</v>
      </c>
    </row>
    <row r="16" spans="1:2" x14ac:dyDescent="0.25">
      <c r="A16" s="4" t="str">
        <f>plan_statystyki!C42</f>
        <v>Biofizyka</v>
      </c>
      <c r="B16" s="95" t="str">
        <f>plan_statystyki!AI42</f>
        <v>10 cw na sem</v>
      </c>
    </row>
    <row r="17" spans="1:2" x14ac:dyDescent="0.25">
      <c r="A17" s="4" t="str">
        <f>plan_statystyki!C43</f>
        <v>Fizjologia</v>
      </c>
      <c r="B17" s="95" t="str">
        <f>plan_statystyki!AI43</f>
        <v>10 cw na sem</v>
      </c>
    </row>
    <row r="18" spans="1:2" x14ac:dyDescent="0.25">
      <c r="A18" s="4" t="str">
        <f>plan_statystyki!C44</f>
        <v>Patofizjologia</v>
      </c>
      <c r="B18" s="95" t="str">
        <f>plan_statystyki!AI44</f>
        <v>minus 10h/15 cw na sem</v>
      </c>
    </row>
    <row r="19" spans="1:2" x14ac:dyDescent="0.25">
      <c r="A19" s="4" t="str">
        <f>plan_statystyki!C47</f>
        <v>Kosmetologia pielęgnacyjna/cz.2-full</v>
      </c>
      <c r="B19" s="95">
        <f>plan_statystyki!AI47</f>
        <v>0</v>
      </c>
    </row>
    <row r="20" spans="1:2" x14ac:dyDescent="0.25">
      <c r="A20" s="4" t="str">
        <f>plan_statystyki!C51</f>
        <v xml:space="preserve">Język obcy dla kosmetologów/cz.1                    </v>
      </c>
      <c r="B20" s="95">
        <f>plan_statystyki!AI51</f>
        <v>0</v>
      </c>
    </row>
    <row r="21" spans="1:2" x14ac:dyDescent="0.25">
      <c r="A21" s="4" t="str">
        <f>plan_statystyki!C52</f>
        <v>Kształtowanie sylwetki i postawy ciała/Ćwiczenia fitness "do wyboru"/cz.2</v>
      </c>
      <c r="B21" s="95">
        <f>plan_statystyki!AI52</f>
        <v>0</v>
      </c>
    </row>
    <row r="22" spans="1:2" x14ac:dyDescent="0.25">
      <c r="A22" s="4" t="str">
        <f>plan_statystyki!C56</f>
        <v>Fakultety wolne - do wyboru  6 ECTS</v>
      </c>
      <c r="B22" s="95">
        <f>plan_statystyki!AI56</f>
        <v>70</v>
      </c>
    </row>
    <row r="23" spans="1:2" x14ac:dyDescent="0.25">
      <c r="A23" s="4">
        <f>plan_statystyki!C57</f>
        <v>0</v>
      </c>
      <c r="B23" s="95">
        <f>plan_statystyki!AI57</f>
        <v>0</v>
      </c>
    </row>
    <row r="24" spans="1:2" x14ac:dyDescent="0.25">
      <c r="A24" s="4">
        <f>plan_statystyki!C58</f>
        <v>0</v>
      </c>
      <c r="B24" s="95">
        <f>plan_statystyki!AI58</f>
        <v>0</v>
      </c>
    </row>
    <row r="25" spans="1:2" x14ac:dyDescent="0.25">
      <c r="A25" s="4">
        <f>plan_statystyki!C59</f>
        <v>0</v>
      </c>
      <c r="B25" s="95">
        <f>plan_statystyki!AI59</f>
        <v>0</v>
      </c>
    </row>
    <row r="26" spans="1:2" x14ac:dyDescent="0.25">
      <c r="A26" s="4">
        <f>plan_statystyki!C60</f>
        <v>0</v>
      </c>
      <c r="B26" s="95">
        <f>plan_statystyki!AI60</f>
        <v>0</v>
      </c>
    </row>
    <row r="27" spans="1:2" x14ac:dyDescent="0.25">
      <c r="A27" s="4">
        <f>plan_statystyki!C61</f>
        <v>0</v>
      </c>
      <c r="B27" s="95">
        <f>plan_statystyki!AI61</f>
        <v>0</v>
      </c>
    </row>
    <row r="28" spans="1:2" x14ac:dyDescent="0.25">
      <c r="A28" s="4">
        <f>plan_statystyki!C62</f>
        <v>0</v>
      </c>
      <c r="B28" s="95">
        <f>plan_statystyki!AI62</f>
        <v>0</v>
      </c>
    </row>
    <row r="29" spans="1:2" x14ac:dyDescent="0.25">
      <c r="A29" s="4">
        <f>plan_statystyki!C63</f>
        <v>0</v>
      </c>
      <c r="B29" s="95">
        <f>plan_statystyki!AI63</f>
        <v>0</v>
      </c>
    </row>
    <row r="30" spans="1:2" x14ac:dyDescent="0.25">
      <c r="A30" s="4" t="str">
        <f>plan_statystyki!C64</f>
        <v>Praktyki zawodowe śródroczne ("do wyboru")</v>
      </c>
      <c r="B30" s="95">
        <f>plan_statystyki!AI64</f>
        <v>0</v>
      </c>
    </row>
    <row r="31" spans="1:2" x14ac:dyDescent="0.25">
      <c r="A31" s="4">
        <f>plan_statystyki!C65</f>
        <v>0</v>
      </c>
      <c r="B31" s="95">
        <f>plan_statystyki!AI65</f>
        <v>0</v>
      </c>
    </row>
    <row r="32" spans="1:2" x14ac:dyDescent="0.25">
      <c r="A32" s="4">
        <f>plan_statystyki!C66</f>
        <v>0</v>
      </c>
      <c r="B32" s="95">
        <f>plan_statystyki!AI66</f>
        <v>0</v>
      </c>
    </row>
    <row r="33" spans="1:2" x14ac:dyDescent="0.25">
      <c r="A33" s="4">
        <f>plan_statystyki!C67</f>
        <v>0</v>
      </c>
      <c r="B33" s="95">
        <f>plan_statystyki!AI67</f>
        <v>0</v>
      </c>
    </row>
    <row r="34" spans="1:2" x14ac:dyDescent="0.25">
      <c r="A34" s="4">
        <f>plan_statystyki!C68</f>
        <v>0</v>
      </c>
      <c r="B34" s="95">
        <f>plan_statystyki!AI68</f>
        <v>0</v>
      </c>
    </row>
    <row r="35" spans="1:2" x14ac:dyDescent="0.25">
      <c r="A35" s="4" t="str">
        <f>plan_statystyki!C69</f>
        <v>Przedmiot</v>
      </c>
      <c r="B35" s="95">
        <f>plan_statystyki!AI69</f>
        <v>0</v>
      </c>
    </row>
    <row r="36" spans="1:2" x14ac:dyDescent="0.25">
      <c r="A36" s="4">
        <f>plan_statystyki!C70</f>
        <v>0</v>
      </c>
      <c r="B36" s="95">
        <f>plan_statystyki!AI70</f>
        <v>0</v>
      </c>
    </row>
    <row r="37" spans="1:2" x14ac:dyDescent="0.25">
      <c r="A37" s="4">
        <f>plan_statystyki!C71</f>
        <v>0</v>
      </c>
      <c r="B37" s="95">
        <f>plan_statystyki!AI71</f>
        <v>0</v>
      </c>
    </row>
    <row r="38" spans="1:2" x14ac:dyDescent="0.25">
      <c r="A38" s="4">
        <f>plan_statystyki!C72</f>
        <v>0</v>
      </c>
      <c r="B38" s="95">
        <f>plan_statystyki!AI72</f>
        <v>0</v>
      </c>
    </row>
    <row r="39" spans="1:2" x14ac:dyDescent="0.25">
      <c r="A39" s="4">
        <f>plan_statystyki!C73</f>
        <v>0</v>
      </c>
      <c r="B39" s="95">
        <f>plan_statystyki!AI73</f>
        <v>0</v>
      </c>
    </row>
    <row r="40" spans="1:2" x14ac:dyDescent="0.25">
      <c r="A40" s="4" t="str">
        <f>plan_statystyki!C74</f>
        <v>Mikrobiologia</v>
      </c>
      <c r="B40" s="95" t="str">
        <f>plan_statystyki!AI74</f>
        <v>plus 1 ECTS/minus 5h/15 cw na sem/</v>
      </c>
    </row>
    <row r="41" spans="1:2" x14ac:dyDescent="0.25">
      <c r="A41" s="4" t="str">
        <f>plan_statystyki!C75</f>
        <v>Immunologia</v>
      </c>
      <c r="B41" s="95">
        <f>plan_statystyki!AI75</f>
        <v>0</v>
      </c>
    </row>
    <row r="42" spans="1:2" x14ac:dyDescent="0.25">
      <c r="A42" s="4">
        <f>plan_statystyki!C76</f>
        <v>0</v>
      </c>
      <c r="B42" s="95">
        <f>plan_statystyki!AI76</f>
        <v>0</v>
      </c>
    </row>
    <row r="43" spans="1:2" x14ac:dyDescent="0.25">
      <c r="A43" s="4">
        <f>plan_statystyki!C77</f>
        <v>0</v>
      </c>
      <c r="B43" s="95">
        <f>plan_statystyki!AI77</f>
        <v>0</v>
      </c>
    </row>
    <row r="44" spans="1:2" x14ac:dyDescent="0.25">
      <c r="A44" s="4" t="str">
        <f>plan_statystyki!C78</f>
        <v>Dermatologia</v>
      </c>
      <c r="B44" s="95" t="str">
        <f>plan_statystyki!AI78</f>
        <v>minus10 h/20 cw na sem</v>
      </c>
    </row>
    <row r="45" spans="1:2" x14ac:dyDescent="0.25">
      <c r="A45" s="4">
        <f>plan_statystyki!C79</f>
        <v>0</v>
      </c>
      <c r="B45" s="95">
        <f>plan_statystyki!AI79</f>
        <v>0</v>
      </c>
    </row>
    <row r="46" spans="1:2" x14ac:dyDescent="0.25">
      <c r="A46" s="4">
        <f>plan_statystyki!C80</f>
        <v>0</v>
      </c>
      <c r="B46" s="95">
        <f>plan_statystyki!AI80</f>
        <v>0</v>
      </c>
    </row>
    <row r="47" spans="1:2" x14ac:dyDescent="0.25">
      <c r="A47" s="4" t="str">
        <f>plan_statystyki!C81</f>
        <v>Dyspersja i inne zjawiska w preparatach kosmetycznych</v>
      </c>
      <c r="B47" s="95" t="str">
        <f>plan_statystyki!AI81</f>
        <v>55-40 = 15</v>
      </c>
    </row>
    <row r="48" spans="1:2" x14ac:dyDescent="0.25">
      <c r="A48" s="4" t="str">
        <f>plan_statystyki!C82</f>
        <v xml:space="preserve">Podstawy ziołolecznictwa </v>
      </c>
      <c r="B48" s="95" t="str">
        <f>plan_statystyki!AI82</f>
        <v>minus 1 ECTS</v>
      </c>
    </row>
    <row r="49" spans="1:2" x14ac:dyDescent="0.25">
      <c r="A49" s="4" t="str">
        <f>plan_statystyki!C83</f>
        <v>Podologia</v>
      </c>
      <c r="B49" s="95" t="str">
        <f>plan_statystyki!AI83</f>
        <v>5 cw na sem</v>
      </c>
    </row>
    <row r="50" spans="1:2" x14ac:dyDescent="0.25">
      <c r="A50" s="4" t="str">
        <f>plan_statystyki!C84</f>
        <v xml:space="preserve">Język obcy dla kosmetologów/cz.2                    </v>
      </c>
      <c r="B50" s="95">
        <f>plan_statystyki!AI84</f>
        <v>0</v>
      </c>
    </row>
    <row r="51" spans="1:2" x14ac:dyDescent="0.25">
      <c r="A51" s="4" t="str">
        <f>plan_statystyki!C85</f>
        <v>Kształtowanie sylwetki i postawy ciała/Ćwiczenia fitness "do wyboru"/cz.3-full</v>
      </c>
      <c r="B51" s="95" t="str">
        <f>plan_statystyki!AI85</f>
        <v>W-F</v>
      </c>
    </row>
    <row r="52" spans="1:2" x14ac:dyDescent="0.25">
      <c r="A52" s="4" t="str">
        <f>plan_statystyki!C86</f>
        <v>Wizaż i stylizacja</v>
      </c>
      <c r="B52" s="95">
        <f>plan_statystyki!AI86</f>
        <v>0</v>
      </c>
    </row>
    <row r="53" spans="1:2" x14ac:dyDescent="0.25">
      <c r="A53" s="4">
        <f>plan_statystyki!C87</f>
        <v>0</v>
      </c>
      <c r="B53" s="95">
        <f>plan_statystyki!AI87</f>
        <v>0</v>
      </c>
    </row>
    <row r="54" spans="1:2" x14ac:dyDescent="0.25">
      <c r="A54" s="4">
        <f>plan_statystyki!C88</f>
        <v>0</v>
      </c>
      <c r="B54" s="95">
        <f>plan_statystyki!AI88</f>
        <v>0</v>
      </c>
    </row>
    <row r="55" spans="1:2" x14ac:dyDescent="0.25">
      <c r="A55" s="4">
        <f>plan_statystyki!C89</f>
        <v>0</v>
      </c>
      <c r="B55" s="95">
        <f>plan_statystyki!AI89</f>
        <v>0</v>
      </c>
    </row>
    <row r="56" spans="1:2" x14ac:dyDescent="0.25">
      <c r="A56" s="4" t="str">
        <f>plan_statystyki!C90</f>
        <v>Fakultety wolne - do wyboru  6 ECTS</v>
      </c>
      <c r="B56" s="95">
        <f>plan_statystyki!AI90</f>
        <v>40</v>
      </c>
    </row>
    <row r="57" spans="1:2" x14ac:dyDescent="0.25">
      <c r="A57" s="4">
        <f>plan_statystyki!C91</f>
        <v>0</v>
      </c>
      <c r="B57" s="95">
        <f>plan_statystyki!AI91</f>
        <v>0</v>
      </c>
    </row>
    <row r="58" spans="1:2" x14ac:dyDescent="0.25">
      <c r="A58" s="4">
        <f>plan_statystyki!C92</f>
        <v>0</v>
      </c>
      <c r="B58" s="95">
        <f>plan_statystyki!AI92</f>
        <v>0</v>
      </c>
    </row>
    <row r="59" spans="1:2" x14ac:dyDescent="0.25">
      <c r="A59" s="4">
        <f>plan_statystyki!C93</f>
        <v>0</v>
      </c>
      <c r="B59" s="95">
        <f>plan_statystyki!AI93</f>
        <v>0</v>
      </c>
    </row>
    <row r="60" spans="1:2" x14ac:dyDescent="0.25">
      <c r="A60" s="4">
        <f>plan_statystyki!C94</f>
        <v>0</v>
      </c>
      <c r="B60" s="95">
        <f>plan_statystyki!AI94</f>
        <v>0</v>
      </c>
    </row>
    <row r="61" spans="1:2" x14ac:dyDescent="0.25">
      <c r="A61" s="4">
        <f>plan_statystyki!C95</f>
        <v>0</v>
      </c>
      <c r="B61" s="95">
        <f>plan_statystyki!AI95</f>
        <v>0</v>
      </c>
    </row>
    <row r="62" spans="1:2" x14ac:dyDescent="0.25">
      <c r="A62" s="4">
        <f>plan_statystyki!C96</f>
        <v>0</v>
      </c>
      <c r="B62" s="95">
        <f>plan_statystyki!AI96</f>
        <v>0</v>
      </c>
    </row>
    <row r="63" spans="1:2" x14ac:dyDescent="0.25">
      <c r="A63" s="4">
        <f>plan_statystyki!C97</f>
        <v>0</v>
      </c>
      <c r="B63" s="95">
        <f>plan_statystyki!AI97</f>
        <v>0</v>
      </c>
    </row>
    <row r="64" spans="1:2" x14ac:dyDescent="0.25">
      <c r="A64" s="4">
        <f>plan_statystyki!C98</f>
        <v>0</v>
      </c>
      <c r="B64" s="95">
        <f>plan_statystyki!AI98</f>
        <v>0</v>
      </c>
    </row>
    <row r="65" spans="1:2" x14ac:dyDescent="0.25">
      <c r="A65" s="4" t="str">
        <f>plan_statystyki!C99</f>
        <v>Przedmiot</v>
      </c>
      <c r="B65" s="95">
        <f>plan_statystyki!AI99</f>
        <v>0</v>
      </c>
    </row>
    <row r="66" spans="1:2" x14ac:dyDescent="0.25">
      <c r="A66" s="4">
        <f>plan_statystyki!C100</f>
        <v>0</v>
      </c>
      <c r="B66" s="95">
        <f>plan_statystyki!AI100</f>
        <v>0</v>
      </c>
    </row>
    <row r="67" spans="1:2" x14ac:dyDescent="0.25">
      <c r="A67" s="4">
        <f>plan_statystyki!C101</f>
        <v>0</v>
      </c>
      <c r="B67" s="95">
        <f>plan_statystyki!AI101</f>
        <v>0</v>
      </c>
    </row>
    <row r="68" spans="1:2" x14ac:dyDescent="0.25">
      <c r="A68" s="4">
        <f>plan_statystyki!C102</f>
        <v>0</v>
      </c>
      <c r="B68" s="95">
        <f>plan_statystyki!AI102</f>
        <v>0</v>
      </c>
    </row>
    <row r="69" spans="1:2" x14ac:dyDescent="0.25">
      <c r="A69" s="4">
        <f>plan_statystyki!C103</f>
        <v>0</v>
      </c>
      <c r="B69" s="95">
        <f>plan_statystyki!AI103</f>
        <v>0</v>
      </c>
    </row>
    <row r="70" spans="1:2" x14ac:dyDescent="0.25">
      <c r="A70" s="4" t="str">
        <f>plan_statystyki!C104</f>
        <v>Higiena w aspekcie zawodu kosmetologa</v>
      </c>
      <c r="B70" s="95">
        <f>plan_statystyki!AI104</f>
        <v>0</v>
      </c>
    </row>
    <row r="71" spans="1:2" x14ac:dyDescent="0.25">
      <c r="A71" s="4">
        <f>plan_statystyki!C105</f>
        <v>0</v>
      </c>
      <c r="B71" s="95">
        <f>plan_statystyki!AI105</f>
        <v>0</v>
      </c>
    </row>
    <row r="72" spans="1:2" x14ac:dyDescent="0.25">
      <c r="A72" s="4">
        <f>plan_statystyki!C106</f>
        <v>0</v>
      </c>
      <c r="B72" s="95">
        <f>plan_statystyki!AI106</f>
        <v>0</v>
      </c>
    </row>
    <row r="73" spans="1:2" x14ac:dyDescent="0.25">
      <c r="A73" s="4" t="str">
        <f>plan_statystyki!C107</f>
        <v>Kosmetologia upiększająca</v>
      </c>
      <c r="B73" s="95">
        <f>plan_statystyki!AI107</f>
        <v>0</v>
      </c>
    </row>
    <row r="74" spans="1:2" x14ac:dyDescent="0.25">
      <c r="A74" s="4" t="str">
        <f>plan_statystyki!C108</f>
        <v>Receptura kosmetyczna I</v>
      </c>
      <c r="B74" s="95">
        <f>plan_statystyki!AI108</f>
        <v>0</v>
      </c>
    </row>
    <row r="75" spans="1:2" x14ac:dyDescent="0.25">
      <c r="A75" s="4">
        <f>plan_statystyki!C109</f>
        <v>0</v>
      </c>
      <c r="B75" s="95">
        <f>plan_statystyki!AI109</f>
        <v>0</v>
      </c>
    </row>
    <row r="76" spans="1:2" x14ac:dyDescent="0.25">
      <c r="A76" s="4">
        <f>plan_statystyki!C110</f>
        <v>0</v>
      </c>
      <c r="B76" s="95">
        <f>plan_statystyki!AI110</f>
        <v>0</v>
      </c>
    </row>
    <row r="77" spans="1:2" x14ac:dyDescent="0.25">
      <c r="A77" s="4" t="str">
        <f>plan_statystyki!C111</f>
        <v>Kosmetologia geriatryczna</v>
      </c>
      <c r="B77" s="95">
        <f>plan_statystyki!AI111</f>
        <v>0</v>
      </c>
    </row>
    <row r="78" spans="1:2" x14ac:dyDescent="0.25">
      <c r="A78" s="4" t="str">
        <f>plan_statystyki!C112</f>
        <v>Marketing w kosmetologii</v>
      </c>
      <c r="B78" s="95">
        <f>plan_statystyki!AI112</f>
        <v>0</v>
      </c>
    </row>
    <row r="79" spans="1:2" x14ac:dyDescent="0.25">
      <c r="A79" s="4" t="str">
        <f>plan_statystyki!C113</f>
        <v>Zasady prawidłowego żywienia i dietetyka</v>
      </c>
      <c r="B79" s="95">
        <f>plan_statystyki!AI113</f>
        <v>0</v>
      </c>
    </row>
    <row r="80" spans="1:2" x14ac:dyDescent="0.25">
      <c r="A80" s="4" t="str">
        <f>plan_statystyki!C114</f>
        <v>Telekosmetologia</v>
      </c>
      <c r="B80" s="95">
        <f>plan_statystyki!AI114</f>
        <v>0</v>
      </c>
    </row>
    <row r="81" spans="1:2" x14ac:dyDescent="0.25">
      <c r="A81" s="4" t="str">
        <f>plan_statystyki!C115</f>
        <v xml:space="preserve">Język obcy dla kosmetologów/cz.3                  </v>
      </c>
      <c r="B81" s="95">
        <f>plan_statystyki!AI115</f>
        <v>0</v>
      </c>
    </row>
    <row r="82" spans="1:2" x14ac:dyDescent="0.25">
      <c r="A82" s="4">
        <f>plan_statystyki!C116</f>
        <v>0</v>
      </c>
      <c r="B82" s="95">
        <f>plan_statystyki!AI116</f>
        <v>0</v>
      </c>
    </row>
    <row r="83" spans="1:2" x14ac:dyDescent="0.25">
      <c r="A83" s="4">
        <f>plan_statystyki!C117</f>
        <v>0</v>
      </c>
      <c r="B83" s="95">
        <f>plan_statystyki!AI117</f>
        <v>0</v>
      </c>
    </row>
    <row r="84" spans="1:2" x14ac:dyDescent="0.25">
      <c r="A84" s="4" t="str">
        <f>plan_statystyki!C118</f>
        <v>Profilaktyka chorób społecznych/zdrowie publiczne</v>
      </c>
      <c r="B84" s="95" t="str">
        <f>plan_statystyki!AI118</f>
        <v>Socjologia</v>
      </c>
    </row>
    <row r="85" spans="1:2" x14ac:dyDescent="0.25">
      <c r="A85" s="4">
        <f>plan_statystyki!C119</f>
        <v>0</v>
      </c>
      <c r="B85" s="95">
        <f>plan_statystyki!AI119</f>
        <v>0</v>
      </c>
    </row>
    <row r="86" spans="1:2" x14ac:dyDescent="0.25">
      <c r="A86" s="4">
        <f>plan_statystyki!C120</f>
        <v>0</v>
      </c>
      <c r="B86" s="95">
        <f>plan_statystyki!AI120</f>
        <v>0</v>
      </c>
    </row>
    <row r="87" spans="1:2" x14ac:dyDescent="0.25">
      <c r="A87" s="4">
        <f>plan_statystyki!C121</f>
        <v>0</v>
      </c>
      <c r="B87" s="95">
        <f>plan_statystyki!AI121</f>
        <v>0</v>
      </c>
    </row>
    <row r="88" spans="1:2" x14ac:dyDescent="0.25">
      <c r="A88" s="4" t="str">
        <f>plan_statystyki!C122</f>
        <v>Fakultet interprofesjonalny "tematyka do wyboru"</v>
      </c>
      <c r="B88" s="95">
        <f>plan_statystyki!AI122</f>
        <v>0</v>
      </c>
    </row>
    <row r="89" spans="1:2" x14ac:dyDescent="0.25">
      <c r="A89" s="4" t="str">
        <f>plan_statystyki!C123</f>
        <v>Fakultety wolne - do wyboru  2 ECTS</v>
      </c>
      <c r="B89" s="95">
        <f>plan_statystyki!AI123</f>
        <v>20</v>
      </c>
    </row>
    <row r="90" spans="1:2" x14ac:dyDescent="0.25">
      <c r="A90" s="4">
        <f>plan_statystyki!C124</f>
        <v>0</v>
      </c>
      <c r="B90" s="95">
        <f>plan_statystyki!AI124</f>
        <v>0</v>
      </c>
    </row>
    <row r="91" spans="1:2" x14ac:dyDescent="0.25">
      <c r="A91" s="4">
        <f>plan_statystyki!C125</f>
        <v>0</v>
      </c>
      <c r="B91" s="95">
        <f>plan_statystyki!AI125</f>
        <v>0</v>
      </c>
    </row>
    <row r="92" spans="1:2" x14ac:dyDescent="0.25">
      <c r="A92" s="4">
        <f>plan_statystyki!C126</f>
        <v>0</v>
      </c>
      <c r="B92" s="95">
        <f>plan_statystyki!AI126</f>
        <v>0</v>
      </c>
    </row>
    <row r="93" spans="1:2" x14ac:dyDescent="0.25">
      <c r="A93" s="4">
        <f>plan_statystyki!C127</f>
        <v>0</v>
      </c>
      <c r="B93" s="95">
        <f>plan_statystyki!AI127</f>
        <v>0</v>
      </c>
    </row>
    <row r="94" spans="1:2" x14ac:dyDescent="0.25">
      <c r="A94" s="4">
        <f>plan_statystyki!C128</f>
        <v>0</v>
      </c>
      <c r="B94" s="95">
        <f>plan_statystyki!AI128</f>
        <v>0</v>
      </c>
    </row>
    <row r="95" spans="1:2" x14ac:dyDescent="0.25">
      <c r="A95" s="4" t="str">
        <f>plan_statystyki!C129</f>
        <v>Praktyki zawodowe śródroczne ("do wyboru")</v>
      </c>
      <c r="B95" s="95">
        <f>plan_statystyki!AI129</f>
        <v>0</v>
      </c>
    </row>
    <row r="96" spans="1:2" x14ac:dyDescent="0.25">
      <c r="A96" s="4">
        <f>plan_statystyki!C130</f>
        <v>0</v>
      </c>
      <c r="B96" s="95">
        <f>plan_statystyki!AI130</f>
        <v>0</v>
      </c>
    </row>
    <row r="97" spans="1:2" x14ac:dyDescent="0.25">
      <c r="A97" s="4">
        <f>plan_statystyki!C131</f>
        <v>0</v>
      </c>
      <c r="B97" s="95">
        <f>plan_statystyki!AI131</f>
        <v>0</v>
      </c>
    </row>
    <row r="98" spans="1:2" x14ac:dyDescent="0.25">
      <c r="A98" s="4">
        <f>plan_statystyki!C132</f>
        <v>0</v>
      </c>
      <c r="B98" s="95">
        <f>plan_statystyki!AI132</f>
        <v>0</v>
      </c>
    </row>
    <row r="99" spans="1:2" x14ac:dyDescent="0.25">
      <c r="A99" s="4">
        <f>plan_statystyki!C133</f>
        <v>0</v>
      </c>
      <c r="B99" s="95">
        <f>plan_statystyki!AI133</f>
        <v>0</v>
      </c>
    </row>
    <row r="100" spans="1:2" x14ac:dyDescent="0.25">
      <c r="A100" s="4" t="str">
        <f>plan_statystyki!C134</f>
        <v>Przedmiot</v>
      </c>
      <c r="B100" s="95">
        <f>plan_statystyki!AI134</f>
        <v>0</v>
      </c>
    </row>
    <row r="101" spans="1:2" x14ac:dyDescent="0.25">
      <c r="A101" s="4">
        <f>plan_statystyki!C135</f>
        <v>0</v>
      </c>
      <c r="B101" s="95">
        <f>plan_statystyki!AI135</f>
        <v>0</v>
      </c>
    </row>
    <row r="102" spans="1:2" x14ac:dyDescent="0.25">
      <c r="A102" s="4">
        <f>plan_statystyki!C136</f>
        <v>0</v>
      </c>
      <c r="B102" s="95">
        <f>plan_statystyki!AI136</f>
        <v>0</v>
      </c>
    </row>
    <row r="103" spans="1:2" x14ac:dyDescent="0.25">
      <c r="A103" s="4">
        <f>plan_statystyki!C137</f>
        <v>0</v>
      </c>
      <c r="B103" s="95">
        <f>plan_statystyki!AI137</f>
        <v>0</v>
      </c>
    </row>
    <row r="104" spans="1:2" x14ac:dyDescent="0.25">
      <c r="A104" s="4">
        <f>plan_statystyki!C138</f>
        <v>0</v>
      </c>
      <c r="B104" s="95">
        <f>plan_statystyki!AI138</f>
        <v>0</v>
      </c>
    </row>
    <row r="105" spans="1:2" x14ac:dyDescent="0.25">
      <c r="A105" s="4" t="str">
        <f>plan_statystyki!C139</f>
        <v>Farmakologia</v>
      </c>
      <c r="B105" s="95">
        <f>plan_statystyki!AI139</f>
        <v>0</v>
      </c>
    </row>
    <row r="106" spans="1:2" x14ac:dyDescent="0.25">
      <c r="A106" s="4">
        <f>plan_statystyki!C140</f>
        <v>0</v>
      </c>
      <c r="B106" s="95">
        <f>plan_statystyki!AI140</f>
        <v>0</v>
      </c>
    </row>
    <row r="107" spans="1:2" x14ac:dyDescent="0.25">
      <c r="A107" s="4">
        <f>plan_statystyki!C141</f>
        <v>0</v>
      </c>
      <c r="B107" s="95">
        <f>plan_statystyki!AI141</f>
        <v>0</v>
      </c>
    </row>
    <row r="108" spans="1:2" x14ac:dyDescent="0.25">
      <c r="A108" s="4" t="str">
        <f>plan_statystyki!C142</f>
        <v>Estetyka</v>
      </c>
      <c r="B108" s="95">
        <f>plan_statystyki!AI142</f>
        <v>0</v>
      </c>
    </row>
    <row r="109" spans="1:2" x14ac:dyDescent="0.25">
      <c r="A109" s="4" t="str">
        <f>plan_statystyki!C143</f>
        <v>Receptura kosmetyczna II</v>
      </c>
      <c r="B109" s="95" t="str">
        <f>plan_statystyki!AI143</f>
        <v>5 cw na sem</v>
      </c>
    </row>
    <row r="110" spans="1:2" x14ac:dyDescent="0.25">
      <c r="A110" s="4">
        <f>plan_statystyki!C144</f>
        <v>0</v>
      </c>
      <c r="B110" s="95">
        <f>plan_statystyki!AI144</f>
        <v>0</v>
      </c>
    </row>
    <row r="111" spans="1:2" x14ac:dyDescent="0.25">
      <c r="A111" s="4">
        <f>plan_statystyki!C145</f>
        <v>0</v>
      </c>
      <c r="B111" s="95">
        <f>plan_statystyki!AI145</f>
        <v>0</v>
      </c>
    </row>
    <row r="112" spans="1:2" x14ac:dyDescent="0.25">
      <c r="A112" s="4" t="str">
        <f>plan_statystyki!C146</f>
        <v>Współczesne metody analizy instrumentalnej kosmetyków</v>
      </c>
      <c r="B112" s="95">
        <f>plan_statystyki!AI146</f>
        <v>0</v>
      </c>
    </row>
    <row r="113" spans="1:2" x14ac:dyDescent="0.25">
      <c r="A113" s="4" t="str">
        <f>plan_statystyki!C147</f>
        <v>Kosmetyka anti-aging/Kosmetologia specjalistyczna</v>
      </c>
      <c r="B113" s="95">
        <f>plan_statystyki!AI147</f>
        <v>0</v>
      </c>
    </row>
    <row r="114" spans="1:2" x14ac:dyDescent="0.25">
      <c r="A114" s="4" t="str">
        <f>plan_statystyki!C148</f>
        <v xml:space="preserve">Język obcy dla kosmetologów/cz.4-full                </v>
      </c>
      <c r="B114" s="95">
        <f>plan_statystyki!AI148</f>
        <v>0</v>
      </c>
    </row>
    <row r="115" spans="1:2" x14ac:dyDescent="0.25">
      <c r="A115" s="4">
        <f>plan_statystyki!C149</f>
        <v>0</v>
      </c>
      <c r="B115" s="95">
        <f>plan_statystyki!AI149</f>
        <v>0</v>
      </c>
    </row>
    <row r="116" spans="1:2" x14ac:dyDescent="0.25">
      <c r="A116" s="4">
        <f>plan_statystyki!C150</f>
        <v>0</v>
      </c>
      <c r="B116" s="95">
        <f>plan_statystyki!AI150</f>
        <v>0</v>
      </c>
    </row>
    <row r="117" spans="1:2" x14ac:dyDescent="0.25">
      <c r="A117" s="4" t="str">
        <f>plan_statystyki!C151</f>
        <v>Ochrona własności intelektualnej</v>
      </c>
      <c r="B117" s="95">
        <f>plan_statystyki!AI151</f>
        <v>0</v>
      </c>
    </row>
    <row r="118" spans="1:2" x14ac:dyDescent="0.25">
      <c r="A118" s="4" t="str">
        <f>plan_statystyki!C152</f>
        <v>Etyka i komunikacja zawodowa</v>
      </c>
      <c r="B118" s="95">
        <f>plan_statystyki!AI152</f>
        <v>0</v>
      </c>
    </row>
    <row r="119" spans="1:2" x14ac:dyDescent="0.25">
      <c r="A119" s="4">
        <f>plan_statystyki!C153</f>
        <v>0</v>
      </c>
      <c r="B119" s="95">
        <f>plan_statystyki!AI153</f>
        <v>0</v>
      </c>
    </row>
    <row r="120" spans="1:2" x14ac:dyDescent="0.25">
      <c r="A120" s="4" t="str">
        <f>plan_statystyki!C154</f>
        <v>Fakultety wolne - do wyboru 6 ECTS</v>
      </c>
      <c r="B120" s="95">
        <f>plan_statystyki!AI154</f>
        <v>50</v>
      </c>
    </row>
    <row r="121" spans="1:2" x14ac:dyDescent="0.25">
      <c r="A121" s="4">
        <f>plan_statystyki!C155</f>
        <v>0</v>
      </c>
      <c r="B121" s="95">
        <f>plan_statystyki!AI155</f>
        <v>0</v>
      </c>
    </row>
    <row r="122" spans="1:2" x14ac:dyDescent="0.25">
      <c r="A122" s="4">
        <f>plan_statystyki!C156</f>
        <v>0</v>
      </c>
      <c r="B122" s="95">
        <f>plan_statystyki!AI156</f>
        <v>0</v>
      </c>
    </row>
    <row r="123" spans="1:2" x14ac:dyDescent="0.25">
      <c r="A123" s="4">
        <f>plan_statystyki!C157</f>
        <v>0</v>
      </c>
      <c r="B123" s="95">
        <f>plan_statystyki!AI157</f>
        <v>0</v>
      </c>
    </row>
    <row r="124" spans="1:2" x14ac:dyDescent="0.25">
      <c r="A124" s="4">
        <f>plan_statystyki!C158</f>
        <v>0</v>
      </c>
      <c r="B124" s="95">
        <f>plan_statystyki!AI158</f>
        <v>0</v>
      </c>
    </row>
    <row r="125" spans="1:2" x14ac:dyDescent="0.25">
      <c r="A125" s="4">
        <f>plan_statystyki!C159</f>
        <v>0</v>
      </c>
      <c r="B125" s="95">
        <f>plan_statystyki!AI159</f>
        <v>0</v>
      </c>
    </row>
    <row r="126" spans="1:2" x14ac:dyDescent="0.25">
      <c r="A126" s="4">
        <f>plan_statystyki!C160</f>
        <v>0</v>
      </c>
      <c r="B126" s="95">
        <f>plan_statystyki!AI160</f>
        <v>0</v>
      </c>
    </row>
    <row r="127" spans="1:2" x14ac:dyDescent="0.25">
      <c r="A127" s="4" t="str">
        <f>plan_statystyki!C161</f>
        <v xml:space="preserve">Warsztaty praktyczne ("do wyboru") </v>
      </c>
      <c r="B127" s="95">
        <f>plan_statystyki!AI161</f>
        <v>0</v>
      </c>
    </row>
    <row r="128" spans="1:2" x14ac:dyDescent="0.25">
      <c r="A128" s="4">
        <f>plan_statystyki!C162</f>
        <v>0</v>
      </c>
      <c r="B128" s="95">
        <f>plan_statystyki!AI162</f>
        <v>0</v>
      </c>
    </row>
    <row r="129" spans="1:2" x14ac:dyDescent="0.25">
      <c r="A129" s="4">
        <f>plan_statystyki!C163</f>
        <v>0</v>
      </c>
      <c r="B129" s="95">
        <f>plan_statystyki!AI163</f>
        <v>0</v>
      </c>
    </row>
    <row r="130" spans="1:2" x14ac:dyDescent="0.25">
      <c r="A130" s="4">
        <f>plan_statystyki!C164</f>
        <v>0</v>
      </c>
      <c r="B130" s="95">
        <f>plan_statystyki!AI164</f>
        <v>0</v>
      </c>
    </row>
    <row r="131" spans="1:2" x14ac:dyDescent="0.25">
      <c r="A131" s="4">
        <f>plan_statystyki!C165</f>
        <v>0</v>
      </c>
      <c r="B131" s="95">
        <f>plan_statystyki!AI165</f>
        <v>0</v>
      </c>
    </row>
    <row r="132" spans="1:2" x14ac:dyDescent="0.25">
      <c r="A132" s="4">
        <f>plan_statystyki!C166</f>
        <v>0</v>
      </c>
      <c r="B132" s="95">
        <f>plan_statystyki!AI166</f>
        <v>0</v>
      </c>
    </row>
    <row r="133" spans="1:2" x14ac:dyDescent="0.25">
      <c r="A133" s="4" t="str">
        <f>plan_statystyki!C167</f>
        <v>Przedmiot</v>
      </c>
      <c r="B133" s="95">
        <f>plan_statystyki!AI167</f>
        <v>0</v>
      </c>
    </row>
    <row r="134" spans="1:2" x14ac:dyDescent="0.25">
      <c r="A134" s="4">
        <f>plan_statystyki!C168</f>
        <v>0</v>
      </c>
      <c r="B134" s="95">
        <f>plan_statystyki!AI168</f>
        <v>0</v>
      </c>
    </row>
    <row r="135" spans="1:2" x14ac:dyDescent="0.25">
      <c r="A135" s="4">
        <f>plan_statystyki!C169</f>
        <v>0</v>
      </c>
      <c r="B135" s="95">
        <f>plan_statystyki!AI169</f>
        <v>0</v>
      </c>
    </row>
    <row r="136" spans="1:2" x14ac:dyDescent="0.25">
      <c r="A136" s="4">
        <f>plan_statystyki!C170</f>
        <v>0</v>
      </c>
      <c r="B136" s="95">
        <f>plan_statystyki!AI170</f>
        <v>0</v>
      </c>
    </row>
    <row r="137" spans="1:2" x14ac:dyDescent="0.25">
      <c r="A137" s="4">
        <f>plan_statystyki!C171</f>
        <v>0</v>
      </c>
      <c r="B137" s="95">
        <f>plan_statystyki!AI171</f>
        <v>0</v>
      </c>
    </row>
    <row r="138" spans="1:2" x14ac:dyDescent="0.25">
      <c r="A138" s="4" t="str">
        <f>plan_statystyki!C172</f>
        <v>Fizjoterapia i masaż</v>
      </c>
      <c r="B138" s="95">
        <f>plan_statystyki!AI172</f>
        <v>0</v>
      </c>
    </row>
    <row r="139" spans="1:2" x14ac:dyDescent="0.25">
      <c r="A139" s="4">
        <f>plan_statystyki!C173</f>
        <v>0</v>
      </c>
      <c r="B139" s="95">
        <f>plan_statystyki!AI173</f>
        <v>0</v>
      </c>
    </row>
    <row r="140" spans="1:2" x14ac:dyDescent="0.25">
      <c r="A140" s="4">
        <f>plan_statystyki!C174</f>
        <v>0</v>
      </c>
      <c r="B140" s="95">
        <f>plan_statystyki!AI174</f>
        <v>0</v>
      </c>
    </row>
    <row r="141" spans="1:2" x14ac:dyDescent="0.25">
      <c r="A141" s="4" t="str">
        <f>plan_statystyki!C175</f>
        <v>Podstawy toksykologii</v>
      </c>
      <c r="B141" s="95">
        <f>plan_statystyki!AI175</f>
        <v>0</v>
      </c>
    </row>
    <row r="142" spans="1:2" x14ac:dyDescent="0.25">
      <c r="A142" s="4">
        <f>plan_statystyki!C176</f>
        <v>0</v>
      </c>
      <c r="B142" s="95">
        <f>plan_statystyki!AI176</f>
        <v>0</v>
      </c>
    </row>
    <row r="143" spans="1:2" x14ac:dyDescent="0.25">
      <c r="A143" s="4" t="str">
        <f>plan_statystyki!C177</f>
        <v>Diagnostyka laboratoryjna</v>
      </c>
      <c r="B143" s="95">
        <f>plan_statystyki!AI177</f>
        <v>15</v>
      </c>
    </row>
    <row r="144" spans="1:2" x14ac:dyDescent="0.25">
      <c r="A144" s="4" t="str">
        <f>plan_statystyki!C178</f>
        <v>Warsztaty grupowego poradnictwa zawodowego i aktywizacji zawodowej</v>
      </c>
      <c r="B144" s="95" t="str">
        <f>plan_statystyki!AI178</f>
        <v>PZiAZ</v>
      </c>
    </row>
    <row r="145" spans="1:2" x14ac:dyDescent="0.25">
      <c r="A145" s="4" t="str">
        <f>plan_statystyki!C179</f>
        <v>Podstawy ratownictwa medycznego</v>
      </c>
      <c r="B145" s="95" t="str">
        <f>plan_statystyki!AI179</f>
        <v>poza macierzą</v>
      </c>
    </row>
    <row r="146" spans="1:2" x14ac:dyDescent="0.25">
      <c r="A146" s="4" t="str">
        <f>plan_statystyki!C180</f>
        <v>Opieka kosmetologiczna nad osobami po zabiegach medycznych</v>
      </c>
      <c r="B146" s="95">
        <f>plan_statystyki!AI180</f>
        <v>0</v>
      </c>
    </row>
    <row r="147" spans="1:2" x14ac:dyDescent="0.25">
      <c r="A147" s="4" t="str">
        <f>plan_statystyki!C181</f>
        <v>Mikropigmentacja medyczna w aspekcie opieki kosmetologicznej</v>
      </c>
      <c r="B147" s="95">
        <f>plan_statystyki!AI181</f>
        <v>0</v>
      </c>
    </row>
    <row r="148" spans="1:2" x14ac:dyDescent="0.25">
      <c r="A148" s="4">
        <f>plan_statystyki!C182</f>
        <v>0</v>
      </c>
      <c r="B148" s="95">
        <f>plan_statystyki!AI182</f>
        <v>0</v>
      </c>
    </row>
    <row r="149" spans="1:2" x14ac:dyDescent="0.25">
      <c r="A149" s="4">
        <f>plan_statystyki!C183</f>
        <v>0</v>
      </c>
      <c r="B149" s="95">
        <f>plan_statystyki!AI183</f>
        <v>0</v>
      </c>
    </row>
    <row r="150" spans="1:2" x14ac:dyDescent="0.25">
      <c r="A150" s="4">
        <f>plan_statystyki!C184</f>
        <v>0</v>
      </c>
      <c r="B150" s="95">
        <f>plan_statystyki!AI184</f>
        <v>0</v>
      </c>
    </row>
    <row r="151" spans="1:2" x14ac:dyDescent="0.25">
      <c r="A151" s="4">
        <f>plan_statystyki!C185</f>
        <v>0</v>
      </c>
      <c r="B151" s="95">
        <f>plan_statystyki!AI185</f>
        <v>0</v>
      </c>
    </row>
    <row r="152" spans="1:2" x14ac:dyDescent="0.25">
      <c r="A152" s="4">
        <f>plan_statystyki!C186</f>
        <v>0</v>
      </c>
      <c r="B152" s="95">
        <f>plan_statystyki!AI186</f>
        <v>0</v>
      </c>
    </row>
    <row r="153" spans="1:2" x14ac:dyDescent="0.25">
      <c r="A153" s="4">
        <f>plan_statystyki!C187</f>
        <v>0</v>
      </c>
      <c r="B153" s="95">
        <f>plan_statystyki!AI187</f>
        <v>0</v>
      </c>
    </row>
    <row r="154" spans="1:2" x14ac:dyDescent="0.25">
      <c r="A154" s="4" t="str">
        <f>plan_statystyki!C188</f>
        <v>Fakultety wolne - do wyboru 4 ECTS</v>
      </c>
      <c r="B154" s="95">
        <f>plan_statystyki!AI188</f>
        <v>60</v>
      </c>
    </row>
    <row r="155" spans="1:2" x14ac:dyDescent="0.25">
      <c r="A155" s="4">
        <f>plan_statystyki!C189</f>
        <v>0</v>
      </c>
      <c r="B155" s="95">
        <f>plan_statystyki!AI189</f>
        <v>0</v>
      </c>
    </row>
    <row r="156" spans="1:2" x14ac:dyDescent="0.25">
      <c r="A156" s="4">
        <f>plan_statystyki!C190</f>
        <v>0</v>
      </c>
      <c r="B156" s="95">
        <f>plan_statystyki!AI190</f>
        <v>0</v>
      </c>
    </row>
    <row r="157" spans="1:2" x14ac:dyDescent="0.25">
      <c r="A157" s="4">
        <f>plan_statystyki!C191</f>
        <v>0</v>
      </c>
      <c r="B157" s="95">
        <f>plan_statystyki!AI191</f>
        <v>0</v>
      </c>
    </row>
    <row r="158" spans="1:2" x14ac:dyDescent="0.25">
      <c r="A158" s="4">
        <f>plan_statystyki!C192</f>
        <v>0</v>
      </c>
      <c r="B158" s="95">
        <f>plan_statystyki!AI192</f>
        <v>0</v>
      </c>
    </row>
    <row r="159" spans="1:2" x14ac:dyDescent="0.25">
      <c r="A159" s="4">
        <f>plan_statystyki!C193</f>
        <v>0</v>
      </c>
      <c r="B159" s="95">
        <f>plan_statystyki!AI193</f>
        <v>0</v>
      </c>
    </row>
    <row r="160" spans="1:2" x14ac:dyDescent="0.25">
      <c r="A160" s="4" t="str">
        <f>plan_statystyki!C194</f>
        <v xml:space="preserve">Warsztaty praktyczne ("do wyboru") </v>
      </c>
      <c r="B160" s="95">
        <f>plan_statystyki!AI194</f>
        <v>0</v>
      </c>
    </row>
    <row r="161" spans="1:2" x14ac:dyDescent="0.25">
      <c r="A161" s="4">
        <f>plan_statystyki!C195</f>
        <v>0</v>
      </c>
      <c r="B161" s="95">
        <f>plan_statystyki!AI195</f>
        <v>0</v>
      </c>
    </row>
    <row r="162" spans="1:2" x14ac:dyDescent="0.25">
      <c r="A162" s="4" t="str">
        <f>plan_statystyki!C196</f>
        <v>PRACA DYPLOMOWA</v>
      </c>
      <c r="B162" s="95" t="str">
        <f>plan_statystyki!AI196</f>
        <v>minus 13 h na testy i ankiety</v>
      </c>
    </row>
    <row r="163" spans="1:2" x14ac:dyDescent="0.25">
      <c r="A163" s="4">
        <f>plan_statystyki!C197</f>
        <v>0</v>
      </c>
      <c r="B163" s="95">
        <f>plan_statystyki!AI197</f>
        <v>0</v>
      </c>
    </row>
    <row r="164" spans="1:2" x14ac:dyDescent="0.25">
      <c r="A164" s="4" t="str">
        <f>plan_statystyki!C198</f>
        <v>Egzamin dyplomowy</v>
      </c>
      <c r="B164" s="95" t="str">
        <f>plan_statystyki!AI198</f>
        <v>poza macierzą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98"/>
  <sheetViews>
    <sheetView workbookViewId="0">
      <selection activeCell="A99" sqref="A1:AL99"/>
    </sheetView>
  </sheetViews>
  <sheetFormatPr defaultRowHeight="15" x14ac:dyDescent="0.25"/>
  <cols>
    <col min="1" max="1" width="8.7109375" customWidth="1"/>
    <col min="2" max="2" width="64.7109375" style="2" customWidth="1"/>
    <col min="3" max="4" width="0.28515625" style="2" customWidth="1"/>
    <col min="5" max="15" width="7.85546875" style="2" customWidth="1"/>
    <col min="19" max="19" width="10.42578125" customWidth="1"/>
    <col min="21" max="21" width="10.28515625" customWidth="1"/>
    <col min="33" max="33" width="10.7109375" customWidth="1"/>
  </cols>
  <sheetData>
    <row r="1" spans="1:39" ht="25.5" x14ac:dyDescent="0.25">
      <c r="A1" s="126" t="s">
        <v>280</v>
      </c>
      <c r="C1" s="4"/>
      <c r="D1" s="4"/>
      <c r="E1" s="4"/>
      <c r="F1" s="382">
        <f>SUM(F17,F30,F44,F60,F74,F90)</f>
        <v>4500</v>
      </c>
      <c r="G1" s="382">
        <f>SUM(G17,G30,G44,G60,G74,G90)</f>
        <v>2500</v>
      </c>
      <c r="H1" s="382">
        <f>SUM(H17,H30,H44,H60,H74,H90)</f>
        <v>2360</v>
      </c>
      <c r="I1" s="4"/>
      <c r="J1" s="4"/>
      <c r="K1" s="4"/>
      <c r="L1" s="4"/>
      <c r="M1" s="4"/>
      <c r="N1" s="4"/>
      <c r="O1" s="4"/>
    </row>
    <row r="2" spans="1:39" x14ac:dyDescent="0.25">
      <c r="B2" s="5" t="str">
        <f>plan_statystyki!G2</f>
        <v>SEMESTR I</v>
      </c>
      <c r="C2" s="4"/>
      <c r="D2" s="5" t="s">
        <v>204</v>
      </c>
      <c r="E2" s="383" t="str">
        <f>plan_statystyki!F3</f>
        <v>ECTS</v>
      </c>
      <c r="F2" s="383" t="s">
        <v>281</v>
      </c>
      <c r="G2" s="383" t="s">
        <v>282</v>
      </c>
      <c r="H2" s="383" t="s">
        <v>283</v>
      </c>
      <c r="I2" s="383" t="s">
        <v>284</v>
      </c>
      <c r="J2" s="383" t="s">
        <v>285</v>
      </c>
      <c r="K2" s="383" t="s">
        <v>206</v>
      </c>
      <c r="L2" s="383" t="s">
        <v>207</v>
      </c>
      <c r="M2" s="383" t="s">
        <v>208</v>
      </c>
      <c r="N2" s="383" t="s">
        <v>286</v>
      </c>
      <c r="O2" s="383" t="s">
        <v>287</v>
      </c>
      <c r="Q2" s="385" t="s">
        <v>288</v>
      </c>
      <c r="R2" s="395" t="s">
        <v>289</v>
      </c>
      <c r="S2" s="395" t="s">
        <v>290</v>
      </c>
      <c r="T2" s="395" t="s">
        <v>291</v>
      </c>
      <c r="U2" s="395" t="s">
        <v>292</v>
      </c>
      <c r="V2" s="396" t="s">
        <v>293</v>
      </c>
      <c r="W2" s="386"/>
      <c r="Y2" s="385" t="s">
        <v>288</v>
      </c>
      <c r="Z2" s="397" t="s">
        <v>294</v>
      </c>
      <c r="AE2" s="393" t="s">
        <v>295</v>
      </c>
      <c r="AF2" s="386"/>
      <c r="AG2" s="386"/>
      <c r="AH2" s="386"/>
      <c r="AI2" s="386"/>
      <c r="AJ2" s="392"/>
      <c r="AK2" s="392"/>
    </row>
    <row r="3" spans="1:39" x14ac:dyDescent="0.25">
      <c r="A3" t="s">
        <v>296</v>
      </c>
      <c r="B3" s="375" t="str">
        <f>plan_statystyki!C7</f>
        <v>Anatomia</v>
      </c>
      <c r="C3" s="4" t="str">
        <f>plan_statystyki!D7</f>
        <v>Katedra i Zakład Anatomii Prawidłowej Człowieka</v>
      </c>
      <c r="D3" s="4">
        <f>plan_statystyki!E7</f>
        <v>30</v>
      </c>
      <c r="E3" s="4">
        <f>plan_statystyki!F7</f>
        <v>2</v>
      </c>
      <c r="F3" s="382">
        <f>E3*25</f>
        <v>50</v>
      </c>
      <c r="G3" s="4">
        <f>D3</f>
        <v>30</v>
      </c>
      <c r="H3" s="4">
        <f>plan_statystyki!G7</f>
        <v>30</v>
      </c>
      <c r="I3" s="4">
        <f>plan_statystyki!I7</f>
        <v>20</v>
      </c>
      <c r="J3" s="4" t="str">
        <f>plan_statystyki!K7</f>
        <v>ZO</v>
      </c>
      <c r="K3" s="4">
        <f>plan_statystyki!L7</f>
        <v>10</v>
      </c>
      <c r="L3" s="4">
        <f>plan_statystyki!Q7</f>
        <v>0</v>
      </c>
      <c r="M3" s="4">
        <f>plan_statystyki!V7</f>
        <v>20</v>
      </c>
      <c r="N3" s="4">
        <f>plan_statystyki!AA7</f>
        <v>0</v>
      </c>
      <c r="O3" s="4">
        <f>plan_statystyki!AE7</f>
        <v>0</v>
      </c>
      <c r="Q3" s="385">
        <v>1</v>
      </c>
      <c r="R3" s="391">
        <f>K19</f>
        <v>23.255813953488371</v>
      </c>
      <c r="S3" s="384">
        <f>(L17)/G17*100</f>
        <v>31.395348837209301</v>
      </c>
      <c r="T3" s="389">
        <f>M19</f>
        <v>45.348837209302324</v>
      </c>
      <c r="U3" s="391">
        <f>N19</f>
        <v>0</v>
      </c>
      <c r="V3" s="391">
        <f>O19</f>
        <v>0</v>
      </c>
      <c r="W3" s="386"/>
      <c r="Y3" s="385">
        <v>1</v>
      </c>
      <c r="Z3" s="391">
        <f>I19</f>
        <v>45.333333333333329</v>
      </c>
      <c r="AE3" s="385" t="s">
        <v>297</v>
      </c>
      <c r="AF3" s="395" t="s">
        <v>289</v>
      </c>
      <c r="AG3" s="398" t="s">
        <v>298</v>
      </c>
      <c r="AH3" s="395" t="s">
        <v>291</v>
      </c>
      <c r="AI3" s="395" t="s">
        <v>292</v>
      </c>
      <c r="AJ3" s="396" t="s">
        <v>293</v>
      </c>
      <c r="AK3" s="397" t="s">
        <v>294</v>
      </c>
    </row>
    <row r="4" spans="1:39" x14ac:dyDescent="0.25">
      <c r="A4" t="s">
        <v>296</v>
      </c>
      <c r="B4" s="375" t="str">
        <f>plan_statystyki!C8</f>
        <v>Biologia z genetyką</v>
      </c>
      <c r="C4" s="4" t="str">
        <f>plan_statystyki!D8</f>
        <v>Katedra i Zakład Biologii z Genetyką</v>
      </c>
      <c r="D4" s="4">
        <f>plan_statystyki!E8</f>
        <v>40</v>
      </c>
      <c r="E4" s="4">
        <f>plan_statystyki!F8</f>
        <v>3</v>
      </c>
      <c r="F4" s="382">
        <f t="shared" ref="F4:F17" si="0">E4*25</f>
        <v>75</v>
      </c>
      <c r="G4" s="4">
        <f t="shared" ref="G4:G17" si="1">D4</f>
        <v>40</v>
      </c>
      <c r="H4" s="4">
        <f>plan_statystyki!G8</f>
        <v>40</v>
      </c>
      <c r="I4" s="4">
        <f>plan_statystyki!I8</f>
        <v>35</v>
      </c>
      <c r="J4" s="4" t="str">
        <f>plan_statystyki!K8</f>
        <v>E</v>
      </c>
      <c r="K4" s="4">
        <f>plan_statystyki!L8</f>
        <v>15</v>
      </c>
      <c r="L4" s="4">
        <f>plan_statystyki!Q8</f>
        <v>15</v>
      </c>
      <c r="M4" s="4">
        <f>plan_statystyki!V8</f>
        <v>10</v>
      </c>
      <c r="N4" s="4">
        <f>plan_statystyki!AA8</f>
        <v>0</v>
      </c>
      <c r="O4" s="4">
        <f>plan_statystyki!AE8</f>
        <v>0</v>
      </c>
      <c r="Q4" s="385">
        <v>2</v>
      </c>
      <c r="R4" s="391">
        <f>K32</f>
        <v>10.714285714285714</v>
      </c>
      <c r="S4" s="384">
        <f>(L30)/G30*100</f>
        <v>28.571428571428569</v>
      </c>
      <c r="T4" s="389">
        <f>M32</f>
        <v>42.857142857142854</v>
      </c>
      <c r="U4" s="391">
        <f>N32</f>
        <v>0</v>
      </c>
      <c r="V4" s="391">
        <f>O32</f>
        <v>17.857142857142858</v>
      </c>
      <c r="W4" s="386"/>
      <c r="Y4" s="385">
        <v>2</v>
      </c>
      <c r="Z4" s="391">
        <f>I32</f>
        <v>56.666666666666664</v>
      </c>
      <c r="AE4" s="385"/>
      <c r="AF4" s="394">
        <f>((K17+K30+K44+K60+K74+K90)/$G$1)*100</f>
        <v>15.2</v>
      </c>
      <c r="AG4" s="394">
        <f>((L17+L30+L44+L60+L74+L90)/$G$1)*100</f>
        <v>26</v>
      </c>
      <c r="AH4" s="394">
        <f>((M17+M30+M44+M60+M74+M90)/$G$1)*100</f>
        <v>44.800000000000004</v>
      </c>
      <c r="AI4" s="394">
        <f>((N17+N30+N44+N60+N74+N90)/$G$1)*100</f>
        <v>8</v>
      </c>
      <c r="AJ4" s="394">
        <f>((O17+O30+O44+O60+O74+O90)/$G$1)*100</f>
        <v>6</v>
      </c>
      <c r="AK4" s="394">
        <f>(SUM(I17,I30,I44,I60,I74,I90)/$F$1)*100</f>
        <v>49.377777777777773</v>
      </c>
    </row>
    <row r="5" spans="1:39" x14ac:dyDescent="0.25">
      <c r="A5" t="s">
        <v>296</v>
      </c>
      <c r="B5" s="375" t="str">
        <f>plan_statystyki!C9</f>
        <v>Histologia</v>
      </c>
      <c r="C5" s="4" t="str">
        <f>plan_statystyki!D9</f>
        <v>Katedra i Zakład Histologii i Embriologii</v>
      </c>
      <c r="D5" s="4">
        <f>plan_statystyki!E9</f>
        <v>40</v>
      </c>
      <c r="E5" s="4">
        <f>plan_statystyki!F9</f>
        <v>3</v>
      </c>
      <c r="F5" s="382">
        <f t="shared" si="0"/>
        <v>75</v>
      </c>
      <c r="G5" s="4">
        <f t="shared" si="1"/>
        <v>40</v>
      </c>
      <c r="H5" s="4">
        <f>plan_statystyki!G9</f>
        <v>40</v>
      </c>
      <c r="I5" s="4">
        <f>plan_statystyki!I9</f>
        <v>35</v>
      </c>
      <c r="J5" s="4" t="str">
        <f>plan_statystyki!K9</f>
        <v>E</v>
      </c>
      <c r="K5" s="4">
        <f>plan_statystyki!L9</f>
        <v>10</v>
      </c>
      <c r="L5" s="4">
        <f>plan_statystyki!Q9</f>
        <v>15</v>
      </c>
      <c r="M5" s="4">
        <f>plan_statystyki!V9</f>
        <v>15</v>
      </c>
      <c r="N5" s="4">
        <f>plan_statystyki!AA9</f>
        <v>0</v>
      </c>
      <c r="O5" s="4">
        <f>plan_statystyki!AE9</f>
        <v>0</v>
      </c>
      <c r="Q5" s="385">
        <v>3</v>
      </c>
      <c r="R5" s="391">
        <f>K46</f>
        <v>20.238095238095237</v>
      </c>
      <c r="S5" s="384">
        <f>(L30)/G30*100</f>
        <v>28.571428571428569</v>
      </c>
      <c r="T5" s="389">
        <f>M46</f>
        <v>41.666666666666671</v>
      </c>
      <c r="U5" s="391">
        <f>N46</f>
        <v>0</v>
      </c>
      <c r="V5" s="391">
        <f>O46</f>
        <v>0</v>
      </c>
      <c r="W5" s="386"/>
      <c r="Y5" s="385">
        <v>3</v>
      </c>
      <c r="Z5" s="391">
        <f>I46</f>
        <v>47.333333333333336</v>
      </c>
      <c r="AJ5" s="388"/>
    </row>
    <row r="6" spans="1:39" x14ac:dyDescent="0.25">
      <c r="A6" t="s">
        <v>296</v>
      </c>
      <c r="B6" s="375" t="str">
        <f>plan_statystyki!C10</f>
        <v>Podstawy ratownictwa medycznego</v>
      </c>
      <c r="C6" s="4" t="str">
        <f>plan_statystyki!D10</f>
        <v xml:space="preserve">Samodzielna Pracownia Medycznych Czynności Ratunkowych i Ratownictwa Specjalistycznego </v>
      </c>
      <c r="D6" s="4">
        <f>plan_statystyki!E10</f>
        <v>15</v>
      </c>
      <c r="E6" s="4">
        <f>plan_statystyki!F10</f>
        <v>2</v>
      </c>
      <c r="F6" s="382">
        <f t="shared" si="0"/>
        <v>50</v>
      </c>
      <c r="G6" s="4">
        <f t="shared" si="1"/>
        <v>15</v>
      </c>
      <c r="H6" s="4">
        <f>plan_statystyki!G10</f>
        <v>15</v>
      </c>
      <c r="I6" s="4">
        <f>plan_statystyki!I10</f>
        <v>35</v>
      </c>
      <c r="J6" s="4" t="str">
        <f>plan_statystyki!K10</f>
        <v>ZO</v>
      </c>
      <c r="K6" s="4">
        <f>plan_statystyki!L10</f>
        <v>0</v>
      </c>
      <c r="L6" s="4">
        <f>plan_statystyki!Q10</f>
        <v>10</v>
      </c>
      <c r="M6" s="4">
        <f>plan_statystyki!V10</f>
        <v>5</v>
      </c>
      <c r="N6" s="4">
        <f>plan_statystyki!AA10</f>
        <v>0</v>
      </c>
      <c r="O6" s="4">
        <f>plan_statystyki!AE10</f>
        <v>0</v>
      </c>
      <c r="Q6" s="385">
        <v>4</v>
      </c>
      <c r="R6" s="391">
        <f>K62</f>
        <v>11.494252873563218</v>
      </c>
      <c r="S6" s="384">
        <f>(L60)/G60*100</f>
        <v>24.137931034482758</v>
      </c>
      <c r="T6" s="389">
        <f>M62</f>
        <v>47.126436781609193</v>
      </c>
      <c r="U6" s="391">
        <f>N62</f>
        <v>0</v>
      </c>
      <c r="V6" s="391">
        <f>O62</f>
        <v>17.241379310344829</v>
      </c>
      <c r="W6" s="386"/>
      <c r="Y6" s="385">
        <v>4</v>
      </c>
      <c r="Z6" s="391">
        <f>I62</f>
        <v>52</v>
      </c>
    </row>
    <row r="7" spans="1:39" x14ac:dyDescent="0.25">
      <c r="A7" s="7" t="s">
        <v>299</v>
      </c>
      <c r="B7" s="376" t="str">
        <f>plan_statystyki!C13</f>
        <v>Kosmetologia pielęgnacyjna/cz.1</v>
      </c>
      <c r="C7" s="4" t="str">
        <f>plan_statystyki!D13</f>
        <v>Zakład Kosmetologii i Medycyny Estetycznej</v>
      </c>
      <c r="D7" s="4">
        <f>plan_statystyki!E13</f>
        <v>50</v>
      </c>
      <c r="E7" s="4">
        <f>plan_statystyki!F13</f>
        <v>4</v>
      </c>
      <c r="F7" s="382">
        <f t="shared" si="0"/>
        <v>100</v>
      </c>
      <c r="G7" s="4">
        <f t="shared" si="1"/>
        <v>50</v>
      </c>
      <c r="H7" s="4">
        <f>plan_statystyki!G13</f>
        <v>50</v>
      </c>
      <c r="I7" s="4">
        <f>plan_statystyki!I13</f>
        <v>50</v>
      </c>
      <c r="J7" s="4" t="str">
        <f>plan_statystyki!K13</f>
        <v>Z</v>
      </c>
      <c r="K7" s="4">
        <f>plan_statystyki!L13</f>
        <v>15</v>
      </c>
      <c r="L7" s="4">
        <f>plan_statystyki!Q13</f>
        <v>20</v>
      </c>
      <c r="M7" s="4">
        <f>plan_statystyki!V13</f>
        <v>15</v>
      </c>
      <c r="N7" s="4">
        <f>plan_statystyki!AA13</f>
        <v>0</v>
      </c>
      <c r="O7" s="4">
        <f>plan_statystyki!AE13</f>
        <v>0</v>
      </c>
      <c r="Q7" s="385">
        <v>5</v>
      </c>
      <c r="R7" s="384">
        <f>K76</f>
        <v>12.643678160919542</v>
      </c>
      <c r="S7" s="384">
        <f>(L74)/G74*100</f>
        <v>18.390804597701148</v>
      </c>
      <c r="T7" s="390">
        <f>M76</f>
        <v>45.977011494252871</v>
      </c>
      <c r="U7" s="384">
        <f>N76</f>
        <v>22.988505747126435</v>
      </c>
      <c r="V7" s="384">
        <f>O76</f>
        <v>0</v>
      </c>
      <c r="Y7" s="385">
        <v>5</v>
      </c>
      <c r="Z7" s="384">
        <f>I76</f>
        <v>42.666666666666671</v>
      </c>
    </row>
    <row r="8" spans="1:39" x14ac:dyDescent="0.25">
      <c r="A8" s="7" t="s">
        <v>299</v>
      </c>
      <c r="B8" s="376" t="str">
        <f>plan_statystyki!C14</f>
        <v>Wprowadzenie do oceny właściwości surowców kosmetycznych</v>
      </c>
      <c r="C8" s="4" t="str">
        <f>plan_statystyki!D14</f>
        <v>Katedra i Zakład Chemii Leków</v>
      </c>
      <c r="D8" s="4">
        <f>plan_statystyki!E14</f>
        <v>40</v>
      </c>
      <c r="E8" s="4">
        <f>plan_statystyki!F14</f>
        <v>3</v>
      </c>
      <c r="F8" s="382">
        <f t="shared" si="0"/>
        <v>75</v>
      </c>
      <c r="G8" s="4">
        <f t="shared" si="1"/>
        <v>40</v>
      </c>
      <c r="H8" s="4">
        <f>plan_statystyki!G14</f>
        <v>40</v>
      </c>
      <c r="I8" s="4">
        <f>plan_statystyki!I14</f>
        <v>35</v>
      </c>
      <c r="J8" s="4" t="str">
        <f>plan_statystyki!K14</f>
        <v>ZO</v>
      </c>
      <c r="K8" s="4">
        <f>plan_statystyki!L14</f>
        <v>10</v>
      </c>
      <c r="L8" s="4">
        <f>plan_statystyki!Q14</f>
        <v>20</v>
      </c>
      <c r="M8" s="4">
        <f>plan_statystyki!V14</f>
        <v>10</v>
      </c>
      <c r="N8" s="4">
        <f>plan_statystyki!AA14</f>
        <v>0</v>
      </c>
      <c r="O8" s="4">
        <f>plan_statystyki!AE14</f>
        <v>0</v>
      </c>
      <c r="Q8" s="385">
        <v>6</v>
      </c>
      <c r="R8" s="384">
        <f>K92</f>
        <v>12.5</v>
      </c>
      <c r="S8" s="384">
        <f>(L90)/G90*100</f>
        <v>13.888888888888889</v>
      </c>
      <c r="T8" s="390">
        <f>M92</f>
        <v>45.833333333333329</v>
      </c>
      <c r="U8" s="384">
        <f>N92</f>
        <v>27.777777777777779</v>
      </c>
      <c r="V8" s="384">
        <f>O92</f>
        <v>0</v>
      </c>
      <c r="Y8" s="385">
        <v>6</v>
      </c>
      <c r="Z8" s="384">
        <f>I92</f>
        <v>52.266666666666659</v>
      </c>
    </row>
    <row r="9" spans="1:39" x14ac:dyDescent="0.25">
      <c r="A9" s="7" t="s">
        <v>299</v>
      </c>
      <c r="B9" s="376" t="str">
        <f>plan_statystyki!C15</f>
        <v>Chemia kosmetyczna</v>
      </c>
      <c r="C9" s="4" t="str">
        <f>plan_statystyki!D15</f>
        <v>Zakład Chemii Nieorganicznej Katedry Chemii</v>
      </c>
      <c r="D9" s="4">
        <f>plan_statystyki!E15</f>
        <v>30</v>
      </c>
      <c r="E9" s="4">
        <f>plan_statystyki!F15</f>
        <v>2</v>
      </c>
      <c r="F9" s="382">
        <f t="shared" si="0"/>
        <v>50</v>
      </c>
      <c r="G9" s="4">
        <f t="shared" si="1"/>
        <v>30</v>
      </c>
      <c r="H9" s="4">
        <f>plan_statystyki!G15</f>
        <v>30</v>
      </c>
      <c r="I9" s="4">
        <f>plan_statystyki!I15</f>
        <v>20</v>
      </c>
      <c r="J9" s="4" t="str">
        <f>plan_statystyki!K15</f>
        <v>ZO</v>
      </c>
      <c r="K9" s="4">
        <f>plan_statystyki!L15</f>
        <v>5</v>
      </c>
      <c r="L9" s="4">
        <f>plan_statystyki!Q15</f>
        <v>20</v>
      </c>
      <c r="M9" s="4">
        <f>plan_statystyki!V15</f>
        <v>5</v>
      </c>
      <c r="N9" s="4">
        <f>plan_statystyki!AA15</f>
        <v>0</v>
      </c>
      <c r="O9" s="4">
        <f>plan_statystyki!AE15</f>
        <v>0</v>
      </c>
    </row>
    <row r="10" spans="1:39" x14ac:dyDescent="0.25">
      <c r="A10" t="s">
        <v>300</v>
      </c>
      <c r="B10" s="377" t="str">
        <f>plan_statystyki!C18</f>
        <v>Podstawy ergonomii i BHP/Ocena narażenia zawodowego i BHP "do wyboru"</v>
      </c>
      <c r="C10" s="4" t="str">
        <f>plan_statystyki!D18</f>
        <v>Zakład Opieki Holistycznej i Zarządzania w Pielęgniarstwie Katedra Zintegrowanej Opieki Pielęgniarskiej</v>
      </c>
      <c r="D10" s="4">
        <f>plan_statystyki!E18</f>
        <v>15</v>
      </c>
      <c r="E10" s="4">
        <f>plan_statystyki!F18</f>
        <v>1</v>
      </c>
      <c r="F10" s="382">
        <f t="shared" si="0"/>
        <v>25</v>
      </c>
      <c r="G10" s="4">
        <f t="shared" si="1"/>
        <v>15</v>
      </c>
      <c r="H10" s="4">
        <f>plan_statystyki!G18</f>
        <v>15</v>
      </c>
      <c r="I10" s="4">
        <f>plan_statystyki!I18</f>
        <v>10</v>
      </c>
      <c r="J10" s="4" t="str">
        <f>plan_statystyki!K18</f>
        <v>Z</v>
      </c>
      <c r="K10" s="4">
        <f>plan_statystyki!L18</f>
        <v>5</v>
      </c>
      <c r="L10" s="4">
        <f>plan_statystyki!Q18</f>
        <v>0</v>
      </c>
      <c r="M10" s="4">
        <f>plan_statystyki!V18</f>
        <v>10</v>
      </c>
      <c r="N10" s="4">
        <f>plan_statystyki!AA18</f>
        <v>0</v>
      </c>
      <c r="O10" s="4">
        <f>plan_statystyki!AE18</f>
        <v>0</v>
      </c>
    </row>
    <row r="11" spans="1:39" x14ac:dyDescent="0.25">
      <c r="A11" t="s">
        <v>301</v>
      </c>
      <c r="B11" s="377" t="str">
        <f>plan_statystyki!C19</f>
        <v>Kształtowanie sylwetki i postawy ciała/Ćwiczenia fitness "do wyboru"/cz.1</v>
      </c>
      <c r="C11" s="4" t="str">
        <f>plan_statystyki!D19</f>
        <v>Studium WF i Sportu</v>
      </c>
      <c r="D11" s="4">
        <f>plan_statystyki!E19</f>
        <v>20</v>
      </c>
      <c r="E11" s="4">
        <f>plan_statystyki!F19</f>
        <v>0</v>
      </c>
      <c r="F11" s="382">
        <f t="shared" si="0"/>
        <v>0</v>
      </c>
      <c r="G11" s="4">
        <f t="shared" si="1"/>
        <v>20</v>
      </c>
      <c r="H11" s="4">
        <f>plan_statystyki!G19</f>
        <v>20</v>
      </c>
      <c r="I11" s="4">
        <f>plan_statystyki!I19</f>
        <v>0</v>
      </c>
      <c r="J11" s="4" t="str">
        <f>plan_statystyki!K19</f>
        <v>Z</v>
      </c>
      <c r="K11" s="4">
        <f>plan_statystyki!L19</f>
        <v>0</v>
      </c>
      <c r="L11" s="4">
        <f>plan_statystyki!Q19</f>
        <v>20</v>
      </c>
      <c r="M11" s="4">
        <f>plan_statystyki!V19</f>
        <v>0</v>
      </c>
      <c r="N11" s="4">
        <f>plan_statystyki!AA19</f>
        <v>0</v>
      </c>
      <c r="O11" s="4">
        <f>plan_statystyki!AE19</f>
        <v>0</v>
      </c>
      <c r="P11" s="392"/>
      <c r="Q11" s="385"/>
      <c r="R11" s="387"/>
      <c r="S11" s="387"/>
      <c r="T11" s="387"/>
      <c r="U11" s="387"/>
      <c r="V11" s="387"/>
      <c r="W11" s="386"/>
      <c r="X11" s="385"/>
      <c r="Y11" s="387"/>
      <c r="Z11" s="386"/>
      <c r="AA11" s="386"/>
      <c r="AB11" s="386"/>
      <c r="AC11" s="386"/>
      <c r="AD11" s="386"/>
      <c r="AE11" s="392"/>
      <c r="AF11" s="392"/>
      <c r="AG11" s="392"/>
      <c r="AH11" s="392"/>
      <c r="AI11" s="392"/>
      <c r="AJ11" s="392"/>
      <c r="AK11" s="392"/>
      <c r="AL11" s="392"/>
      <c r="AM11" s="392"/>
    </row>
    <row r="12" spans="1:39" x14ac:dyDescent="0.25">
      <c r="A12" t="s">
        <v>301</v>
      </c>
      <c r="B12" s="377" t="str">
        <f>plan_statystyki!C20</f>
        <v>Technologie informacyjne</v>
      </c>
      <c r="C12" s="4" t="str">
        <f>plan_statystyki!D20</f>
        <v>Zakład  Informatyki i Statystyki Medycznej z Pracownią zdalnego nauczania</v>
      </c>
      <c r="D12" s="4">
        <f>plan_statystyki!E20</f>
        <v>30</v>
      </c>
      <c r="E12" s="4">
        <f>plan_statystyki!F20</f>
        <v>2</v>
      </c>
      <c r="F12" s="382">
        <f t="shared" si="0"/>
        <v>50</v>
      </c>
      <c r="G12" s="4">
        <f t="shared" si="1"/>
        <v>30</v>
      </c>
      <c r="H12" s="4">
        <f>plan_statystyki!G20</f>
        <v>30</v>
      </c>
      <c r="I12" s="4">
        <f>plan_statystyki!I20</f>
        <v>20</v>
      </c>
      <c r="J12" s="4" t="str">
        <f>plan_statystyki!K20</f>
        <v>ZO</v>
      </c>
      <c r="K12" s="4">
        <f>plan_statystyki!L20</f>
        <v>10</v>
      </c>
      <c r="L12" s="4">
        <f>plan_statystyki!Q20</f>
        <v>0</v>
      </c>
      <c r="M12" s="4">
        <f>plan_statystyki!V20</f>
        <v>20</v>
      </c>
      <c r="N12" s="4">
        <f>plan_statystyki!AA20</f>
        <v>0</v>
      </c>
      <c r="O12" s="4">
        <f>plan_statystyki!AE20</f>
        <v>0</v>
      </c>
      <c r="P12" s="392"/>
      <c r="Q12" s="385"/>
      <c r="R12" s="387"/>
      <c r="S12" s="387"/>
      <c r="T12" s="387"/>
      <c r="U12" s="387"/>
      <c r="V12" s="387"/>
      <c r="W12" s="386"/>
      <c r="X12" s="385"/>
      <c r="Y12" s="387"/>
      <c r="Z12" s="386"/>
      <c r="AA12" s="386"/>
      <c r="AB12" s="386"/>
      <c r="AC12" s="386"/>
      <c r="AD12" s="386"/>
      <c r="AE12" s="392"/>
      <c r="AF12" s="392"/>
      <c r="AG12" s="392"/>
      <c r="AH12" s="392"/>
      <c r="AI12" s="392"/>
      <c r="AJ12" s="392"/>
      <c r="AK12" s="392"/>
      <c r="AL12" s="392"/>
      <c r="AM12" s="392"/>
    </row>
    <row r="13" spans="1:39" x14ac:dyDescent="0.25">
      <c r="A13" t="s">
        <v>300</v>
      </c>
      <c r="B13" s="377" t="str">
        <f>plan_statystyki!C21</f>
        <v>Botanika w kosmetologii</v>
      </c>
      <c r="C13" s="4" t="str">
        <f>plan_statystyki!D21</f>
        <v>Zakład Botaniki Farmaceutycznej</v>
      </c>
      <c r="D13" s="4">
        <f>plan_statystyki!E21</f>
        <v>30</v>
      </c>
      <c r="E13" s="4">
        <f>plan_statystyki!F21</f>
        <v>2</v>
      </c>
      <c r="F13" s="382">
        <f t="shared" si="0"/>
        <v>50</v>
      </c>
      <c r="G13" s="4">
        <f t="shared" si="1"/>
        <v>30</v>
      </c>
      <c r="H13" s="4">
        <f>plan_statystyki!G21</f>
        <v>30</v>
      </c>
      <c r="I13" s="4">
        <f>plan_statystyki!I21</f>
        <v>20</v>
      </c>
      <c r="J13" s="4" t="str">
        <f>plan_statystyki!K21</f>
        <v>ZO</v>
      </c>
      <c r="K13" s="4">
        <f>plan_statystyki!L21</f>
        <v>10</v>
      </c>
      <c r="L13" s="4">
        <f>plan_statystyki!Q21</f>
        <v>15</v>
      </c>
      <c r="M13" s="4">
        <f>plan_statystyki!V21</f>
        <v>5</v>
      </c>
      <c r="N13" s="4">
        <f>plan_statystyki!AA21</f>
        <v>0</v>
      </c>
      <c r="O13" s="4">
        <f>plan_statystyki!AE21</f>
        <v>0</v>
      </c>
      <c r="P13" s="392"/>
      <c r="Q13" s="385"/>
      <c r="R13" s="387"/>
      <c r="S13" s="387"/>
      <c r="T13" s="387"/>
      <c r="U13" s="387"/>
      <c r="V13" s="387"/>
      <c r="W13" s="386"/>
      <c r="X13" s="385"/>
      <c r="Y13" s="387"/>
      <c r="Z13" s="386"/>
      <c r="AA13" s="386"/>
      <c r="AB13" s="386"/>
      <c r="AC13" s="386"/>
      <c r="AD13" s="386"/>
      <c r="AE13" s="392"/>
      <c r="AF13" s="392"/>
      <c r="AG13" s="392"/>
      <c r="AH13" s="392"/>
      <c r="AI13" s="392"/>
      <c r="AJ13" s="392"/>
      <c r="AK13" s="392"/>
      <c r="AL13" s="392"/>
      <c r="AM13" s="392"/>
    </row>
    <row r="14" spans="1:39" x14ac:dyDescent="0.25">
      <c r="A14" t="s">
        <v>302</v>
      </c>
      <c r="B14" s="377" t="str">
        <f>plan_statystyki!C28</f>
        <v>Historia kosmetologii</v>
      </c>
      <c r="C14" s="4" t="str">
        <f>plan_statystyki!D28</f>
        <v>Katedra i Zakład Nauk Humanistycznych i Medycyny Społecznej</v>
      </c>
      <c r="D14" s="4">
        <f>plan_statystyki!E28</f>
        <v>10</v>
      </c>
      <c r="E14" s="4">
        <f>plan_statystyki!F28</f>
        <v>1</v>
      </c>
      <c r="F14" s="382">
        <f t="shared" ref="F14" si="2">E14*25</f>
        <v>25</v>
      </c>
      <c r="G14" s="4">
        <f t="shared" ref="G14" si="3">D14</f>
        <v>10</v>
      </c>
      <c r="H14" s="4">
        <f>plan_statystyki!G28</f>
        <v>10</v>
      </c>
      <c r="I14" s="4">
        <f>plan_statystyki!I28</f>
        <v>15</v>
      </c>
      <c r="J14" s="4" t="str">
        <f>plan_statystyki!K28</f>
        <v>Z</v>
      </c>
      <c r="K14" s="4">
        <f>plan_statystyki!L28</f>
        <v>10</v>
      </c>
      <c r="L14" s="4">
        <f>plan_statystyki!Q28</f>
        <v>0</v>
      </c>
      <c r="M14" s="4">
        <f>plan_statystyki!V28</f>
        <v>0</v>
      </c>
      <c r="N14" s="4">
        <f>plan_statystyki!AA28</f>
        <v>0</v>
      </c>
      <c r="O14" s="4">
        <f>plan_statystyki!AE28</f>
        <v>0</v>
      </c>
      <c r="P14" s="392"/>
      <c r="Q14" s="385"/>
      <c r="R14" s="387"/>
      <c r="S14" s="387"/>
      <c r="T14" s="387"/>
      <c r="U14" s="387"/>
      <c r="V14" s="387"/>
      <c r="W14" s="386"/>
      <c r="X14" s="385"/>
      <c r="Y14" s="387"/>
      <c r="Z14" s="386"/>
      <c r="AA14" s="386"/>
      <c r="AB14" s="386"/>
      <c r="AC14" s="386"/>
      <c r="AD14" s="386"/>
      <c r="AE14" s="392"/>
      <c r="AF14" s="392"/>
      <c r="AG14" s="392"/>
      <c r="AH14" s="392"/>
      <c r="AI14" s="392"/>
      <c r="AJ14" s="392"/>
      <c r="AK14" s="392"/>
      <c r="AL14" s="392"/>
      <c r="AM14" s="392"/>
    </row>
    <row r="15" spans="1:39" x14ac:dyDescent="0.25">
      <c r="A15" t="s">
        <v>302</v>
      </c>
      <c r="B15" s="377" t="str">
        <f>plan_statystyki!C29</f>
        <v>Etykieta i komunikacja interpersonalna</v>
      </c>
      <c r="C15" s="4" t="str">
        <f>plan_statystyki!D29</f>
        <v xml:space="preserve">Katedra i Zakład Psychologii UM  </v>
      </c>
      <c r="D15" s="4">
        <f>plan_statystyki!E29</f>
        <v>20</v>
      </c>
      <c r="E15" s="4">
        <f>plan_statystyki!F29</f>
        <v>1</v>
      </c>
      <c r="F15" s="382">
        <f t="shared" si="0"/>
        <v>25</v>
      </c>
      <c r="G15" s="4">
        <f t="shared" si="1"/>
        <v>20</v>
      </c>
      <c r="H15" s="4">
        <f>plan_statystyki!G29</f>
        <v>20</v>
      </c>
      <c r="I15" s="4">
        <f>plan_statystyki!I29</f>
        <v>5</v>
      </c>
      <c r="J15" s="4" t="str">
        <f>plan_statystyki!K29</f>
        <v>Z</v>
      </c>
      <c r="K15" s="4">
        <f>plan_statystyki!L29</f>
        <v>0</v>
      </c>
      <c r="L15" s="4">
        <f>plan_statystyki!Q29</f>
        <v>0</v>
      </c>
      <c r="M15" s="4">
        <f>plan_statystyki!V29</f>
        <v>20</v>
      </c>
      <c r="N15" s="4">
        <f>plan_statystyki!AA29</f>
        <v>0</v>
      </c>
      <c r="O15" s="4">
        <f>plan_statystyki!AE29</f>
        <v>0</v>
      </c>
      <c r="P15" s="392"/>
      <c r="Q15" s="385"/>
      <c r="R15" s="387"/>
      <c r="S15" s="387"/>
      <c r="T15" s="387"/>
      <c r="U15" s="387"/>
      <c r="V15" s="387"/>
      <c r="W15" s="386"/>
      <c r="X15" s="385"/>
      <c r="Y15" s="387"/>
      <c r="Z15" s="386"/>
      <c r="AA15" s="386"/>
      <c r="AB15" s="386"/>
      <c r="AC15" s="386"/>
      <c r="AD15" s="386"/>
      <c r="AE15" s="392"/>
      <c r="AF15" s="392"/>
      <c r="AG15" s="392"/>
      <c r="AH15" s="392"/>
      <c r="AI15" s="392"/>
      <c r="AJ15" s="392"/>
      <c r="AK15" s="392"/>
      <c r="AL15" s="392"/>
      <c r="AM15" s="392"/>
    </row>
    <row r="16" spans="1:39" x14ac:dyDescent="0.25">
      <c r="A16" t="s">
        <v>303</v>
      </c>
      <c r="B16" s="378" t="str">
        <f>plan_statystyki!C32</f>
        <v>Fakultety wolne - do wyboru  4 ECTS</v>
      </c>
      <c r="C16" s="4">
        <f>plan_statystyki!D32</f>
        <v>0</v>
      </c>
      <c r="D16" s="4">
        <f>plan_statystyki!E32</f>
        <v>60</v>
      </c>
      <c r="E16" s="4">
        <f>plan_statystyki!F32</f>
        <v>4</v>
      </c>
      <c r="F16" s="382">
        <f t="shared" si="0"/>
        <v>100</v>
      </c>
      <c r="G16" s="4">
        <f t="shared" si="1"/>
        <v>60</v>
      </c>
      <c r="H16" s="4">
        <f>plan_statystyki!G32</f>
        <v>60</v>
      </c>
      <c r="I16" s="4">
        <f>plan_statystyki!I32</f>
        <v>40</v>
      </c>
      <c r="J16" s="4" t="str">
        <f>plan_statystyki!K32</f>
        <v>Z</v>
      </c>
      <c r="K16" s="4">
        <f>plan_statystyki!L32</f>
        <v>0</v>
      </c>
      <c r="L16" s="4">
        <f>plan_statystyki!Q32</f>
        <v>0</v>
      </c>
      <c r="M16" s="4">
        <f>plan_statystyki!V32</f>
        <v>60</v>
      </c>
      <c r="N16" s="4">
        <f>plan_statystyki!AA32</f>
        <v>0</v>
      </c>
      <c r="O16" s="4">
        <f>plan_statystyki!AE32</f>
        <v>0</v>
      </c>
      <c r="P16" s="392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  <c r="AC16" s="386"/>
      <c r="AD16" s="386"/>
      <c r="AE16" s="392"/>
      <c r="AF16" s="392"/>
      <c r="AG16" s="392"/>
      <c r="AH16" s="392"/>
      <c r="AI16" s="392"/>
      <c r="AJ16" s="392"/>
      <c r="AK16" s="392"/>
      <c r="AL16" s="392"/>
      <c r="AM16" s="392"/>
    </row>
    <row r="17" spans="1:39" x14ac:dyDescent="0.25">
      <c r="B17" s="353" t="s">
        <v>304</v>
      </c>
      <c r="C17" s="4">
        <f>plan_statystyki!D34</f>
        <v>0</v>
      </c>
      <c r="D17" s="5">
        <f>plan_statystyki!E34</f>
        <v>430</v>
      </c>
      <c r="E17" s="5">
        <f>plan_statystyki!F34</f>
        <v>30</v>
      </c>
      <c r="F17" s="5">
        <f t="shared" si="0"/>
        <v>750</v>
      </c>
      <c r="G17" s="5">
        <f t="shared" si="1"/>
        <v>430</v>
      </c>
      <c r="H17" s="5">
        <f>plan_statystyki!G34</f>
        <v>430</v>
      </c>
      <c r="I17" s="5">
        <f>plan_statystyki!I34</f>
        <v>340</v>
      </c>
      <c r="J17" s="5"/>
      <c r="K17" s="5">
        <f>plan_statystyki!L34</f>
        <v>100</v>
      </c>
      <c r="L17" s="5">
        <f>plan_statystyki!Q34</f>
        <v>135</v>
      </c>
      <c r="M17" s="5">
        <f>plan_statystyki!V34</f>
        <v>195</v>
      </c>
      <c r="N17" s="5">
        <f>plan_statystyki!AA34</f>
        <v>0</v>
      </c>
      <c r="O17" s="5">
        <f>plan_statystyki!AE34</f>
        <v>0</v>
      </c>
      <c r="P17" s="392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  <c r="AC17" s="386"/>
      <c r="AD17" s="386"/>
      <c r="AE17" s="392"/>
      <c r="AF17" s="392"/>
      <c r="AG17" s="392"/>
      <c r="AH17" s="392"/>
      <c r="AI17" s="392"/>
      <c r="AJ17" s="392"/>
      <c r="AK17" s="392"/>
      <c r="AL17" s="392"/>
      <c r="AM17" s="392"/>
    </row>
    <row r="18" spans="1:39" x14ac:dyDescent="0.25">
      <c r="B18" s="353" t="s">
        <v>305</v>
      </c>
      <c r="C18" s="4"/>
      <c r="D18" s="5"/>
      <c r="E18" s="5"/>
      <c r="F18" s="5"/>
      <c r="G18" s="5"/>
      <c r="H18" s="5"/>
      <c r="I18" s="3" t="s">
        <v>306</v>
      </c>
      <c r="J18" s="382"/>
      <c r="K18" s="3" t="s">
        <v>289</v>
      </c>
      <c r="L18" s="3" t="s">
        <v>298</v>
      </c>
      <c r="M18" s="3" t="s">
        <v>291</v>
      </c>
      <c r="N18" s="3" t="s">
        <v>307</v>
      </c>
      <c r="O18" s="381" t="s">
        <v>308</v>
      </c>
      <c r="P18" s="392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  <c r="AC18" s="386"/>
      <c r="AD18" s="386"/>
      <c r="AE18" s="392"/>
      <c r="AF18" s="392"/>
      <c r="AG18" s="392"/>
      <c r="AH18" s="392"/>
      <c r="AI18" s="392"/>
      <c r="AJ18" s="392"/>
      <c r="AK18" s="392"/>
      <c r="AL18" s="392"/>
      <c r="AM18" s="392"/>
    </row>
    <row r="19" spans="1:39" x14ac:dyDescent="0.25">
      <c r="B19" s="353"/>
      <c r="C19" s="4"/>
      <c r="D19" s="5"/>
      <c r="E19" s="5"/>
      <c r="F19" s="5"/>
      <c r="G19" s="5"/>
      <c r="H19" s="5"/>
      <c r="I19" s="384">
        <f>I17/F17*100</f>
        <v>45.333333333333329</v>
      </c>
      <c r="J19" s="382"/>
      <c r="K19" s="384">
        <f>K17/$G$17*100</f>
        <v>23.255813953488371</v>
      </c>
      <c r="L19" s="384">
        <f>L17/$G$17*100</f>
        <v>31.395348837209301</v>
      </c>
      <c r="M19" s="384">
        <f>M17/$G$17*100</f>
        <v>45.348837209302324</v>
      </c>
      <c r="N19" s="384">
        <f t="shared" ref="N19:O19" si="4">N17/$G$17*100</f>
        <v>0</v>
      </c>
      <c r="O19" s="384">
        <f t="shared" si="4"/>
        <v>0</v>
      </c>
      <c r="P19" s="392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  <c r="AC19" s="386"/>
      <c r="AD19" s="386"/>
      <c r="AE19" s="392"/>
      <c r="AF19" s="392"/>
      <c r="AG19" s="392"/>
      <c r="AH19" s="392"/>
      <c r="AI19" s="392"/>
      <c r="AJ19" s="392"/>
      <c r="AK19" s="392"/>
      <c r="AL19" s="392"/>
      <c r="AM19" s="392"/>
    </row>
    <row r="20" spans="1:39" x14ac:dyDescent="0.25">
      <c r="B20" s="563" t="str">
        <f>plan_statystyki!G36</f>
        <v>SEMESTR II</v>
      </c>
      <c r="C20" s="563"/>
      <c r="D20" s="563"/>
      <c r="E20" s="563"/>
      <c r="F20" s="563"/>
      <c r="G20" s="563"/>
      <c r="H20" s="563"/>
      <c r="I20" s="563"/>
      <c r="J20" s="563"/>
      <c r="K20" s="563"/>
      <c r="L20" s="563"/>
      <c r="M20" s="563"/>
      <c r="N20" s="563"/>
      <c r="O20" s="563"/>
      <c r="P20" s="392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  <c r="AC20" s="386"/>
      <c r="AD20" s="386"/>
      <c r="AE20" s="392"/>
      <c r="AF20" s="392"/>
      <c r="AG20" s="392"/>
      <c r="AH20" s="392"/>
      <c r="AI20" s="392"/>
      <c r="AJ20" s="392"/>
      <c r="AK20" s="392"/>
      <c r="AL20" s="392"/>
      <c r="AM20" s="392"/>
    </row>
    <row r="21" spans="1:39" x14ac:dyDescent="0.25">
      <c r="A21" t="s">
        <v>296</v>
      </c>
      <c r="B21" s="375" t="str">
        <f>plan_statystyki!C41</f>
        <v>Biochemia</v>
      </c>
      <c r="C21" s="4" t="str">
        <f>plan_statystyki!D41</f>
        <v>Katedra i Zakład Biochemii i Biotechnologii</v>
      </c>
      <c r="D21" s="4">
        <f>plan_statystyki!E41</f>
        <v>50</v>
      </c>
      <c r="E21" s="4">
        <f>plan_statystyki!F41</f>
        <v>4</v>
      </c>
      <c r="F21" s="382">
        <f t="shared" ref="F21:F30" si="5">E21*25</f>
        <v>100</v>
      </c>
      <c r="G21" s="4">
        <f t="shared" ref="G21:G30" si="6">D21</f>
        <v>50</v>
      </c>
      <c r="H21" s="4">
        <f>plan_statystyki!G41</f>
        <v>50</v>
      </c>
      <c r="I21" s="4">
        <f>plan_statystyki!I41</f>
        <v>50</v>
      </c>
      <c r="J21" s="4" t="str">
        <f>plan_statystyki!K41</f>
        <v>E</v>
      </c>
      <c r="K21" s="4">
        <f>plan_statystyki!L41</f>
        <v>15</v>
      </c>
      <c r="L21" s="4">
        <f>plan_statystyki!Q41</f>
        <v>20</v>
      </c>
      <c r="M21" s="4">
        <f>plan_statystyki!V41</f>
        <v>15</v>
      </c>
      <c r="N21" s="4">
        <f>plan_statystyki!AA41</f>
        <v>0</v>
      </c>
      <c r="O21" s="4">
        <f>plan_statystyki!AE41</f>
        <v>0</v>
      </c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  <c r="AC21" s="392"/>
      <c r="AD21" s="392"/>
      <c r="AE21" s="392"/>
      <c r="AF21" s="392"/>
      <c r="AG21" s="392"/>
      <c r="AH21" s="392"/>
      <c r="AI21" s="392"/>
      <c r="AJ21" s="392"/>
      <c r="AK21" s="392"/>
      <c r="AL21" s="392"/>
      <c r="AM21" s="392"/>
    </row>
    <row r="22" spans="1:39" x14ac:dyDescent="0.25">
      <c r="A22" t="s">
        <v>296</v>
      </c>
      <c r="B22" s="375" t="str">
        <f>plan_statystyki!C42</f>
        <v>Biofizyka</v>
      </c>
      <c r="C22" s="4" t="str">
        <f>plan_statystyki!D42</f>
        <v>Katedra i Zakład Biofizyki</v>
      </c>
      <c r="D22" s="4">
        <f>plan_statystyki!E42</f>
        <v>40</v>
      </c>
      <c r="E22" s="4">
        <f>plan_statystyki!F42</f>
        <v>3</v>
      </c>
      <c r="F22" s="382">
        <f t="shared" si="5"/>
        <v>75</v>
      </c>
      <c r="G22" s="4">
        <f t="shared" si="6"/>
        <v>40</v>
      </c>
      <c r="H22" s="4">
        <f>plan_statystyki!G42</f>
        <v>40</v>
      </c>
      <c r="I22" s="4">
        <f>plan_statystyki!I42</f>
        <v>35</v>
      </c>
      <c r="J22" s="4" t="str">
        <f>plan_statystyki!K42</f>
        <v>ZO</v>
      </c>
      <c r="K22" s="4">
        <f>plan_statystyki!L42</f>
        <v>10</v>
      </c>
      <c r="L22" s="4">
        <f>plan_statystyki!Q42</f>
        <v>10</v>
      </c>
      <c r="M22" s="4">
        <f>plan_statystyki!V42</f>
        <v>20</v>
      </c>
      <c r="N22" s="4">
        <f>plan_statystyki!AA42</f>
        <v>0</v>
      </c>
      <c r="O22" s="4">
        <f>plan_statystyki!AE42</f>
        <v>0</v>
      </c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392"/>
      <c r="AH22" s="392"/>
      <c r="AI22" s="392"/>
      <c r="AJ22" s="392"/>
      <c r="AK22" s="392"/>
      <c r="AL22" s="392"/>
      <c r="AM22" s="392"/>
    </row>
    <row r="23" spans="1:39" x14ac:dyDescent="0.25">
      <c r="A23" t="s">
        <v>296</v>
      </c>
      <c r="B23" s="375" t="str">
        <f>plan_statystyki!C43</f>
        <v>Fizjologia</v>
      </c>
      <c r="C23" s="4" t="str">
        <f>plan_statystyki!D43</f>
        <v>Katedra i Zakład Fizjologii Człowieka</v>
      </c>
      <c r="D23" s="4">
        <f>plan_statystyki!E43</f>
        <v>40</v>
      </c>
      <c r="E23" s="4">
        <f>plan_statystyki!F43</f>
        <v>3</v>
      </c>
      <c r="F23" s="382">
        <f t="shared" si="5"/>
        <v>75</v>
      </c>
      <c r="G23" s="4">
        <f t="shared" si="6"/>
        <v>40</v>
      </c>
      <c r="H23" s="4">
        <f>plan_statystyki!G43</f>
        <v>40</v>
      </c>
      <c r="I23" s="4">
        <f>plan_statystyki!I43</f>
        <v>35</v>
      </c>
      <c r="J23" s="4" t="str">
        <f>plan_statystyki!K43</f>
        <v>ZO</v>
      </c>
      <c r="K23" s="4">
        <f>plan_statystyki!L43</f>
        <v>10</v>
      </c>
      <c r="L23" s="4">
        <f>plan_statystyki!Q43</f>
        <v>10</v>
      </c>
      <c r="M23" s="4">
        <f>plan_statystyki!V43</f>
        <v>20</v>
      </c>
      <c r="N23" s="4">
        <f>plan_statystyki!AA43</f>
        <v>0</v>
      </c>
      <c r="O23" s="4">
        <f>plan_statystyki!AE43</f>
        <v>0</v>
      </c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  <c r="AA23" s="392"/>
      <c r="AB23" s="392"/>
      <c r="AC23" s="392"/>
      <c r="AD23" s="392"/>
      <c r="AE23" s="392"/>
      <c r="AF23" s="392"/>
      <c r="AG23" s="392"/>
      <c r="AH23" s="392"/>
      <c r="AI23" s="392"/>
      <c r="AJ23" s="392"/>
      <c r="AK23" s="392"/>
      <c r="AL23" s="392"/>
      <c r="AM23" s="392"/>
    </row>
    <row r="24" spans="1:39" x14ac:dyDescent="0.25">
      <c r="A24" t="s">
        <v>296</v>
      </c>
      <c r="B24" s="375" t="str">
        <f>plan_statystyki!C44</f>
        <v>Patofizjologia</v>
      </c>
      <c r="C24" s="4" t="str">
        <f>plan_statystyki!D44</f>
        <v>Samodzielna Pracownia Neuropatofizjologii Doświadczalnej</v>
      </c>
      <c r="D24" s="4">
        <f>plan_statystyki!E44</f>
        <v>40</v>
      </c>
      <c r="E24" s="4">
        <f>plan_statystyki!F44</f>
        <v>4</v>
      </c>
      <c r="F24" s="382">
        <f t="shared" si="5"/>
        <v>100</v>
      </c>
      <c r="G24" s="4">
        <f t="shared" si="6"/>
        <v>40</v>
      </c>
      <c r="H24" s="4">
        <f>plan_statystyki!G44</f>
        <v>40</v>
      </c>
      <c r="I24" s="4">
        <f>plan_statystyki!I44</f>
        <v>60</v>
      </c>
      <c r="J24" s="4" t="str">
        <f>plan_statystyki!K44</f>
        <v>E</v>
      </c>
      <c r="K24" s="4">
        <f>plan_statystyki!L44</f>
        <v>10</v>
      </c>
      <c r="L24" s="4">
        <f>plan_statystyki!Q44</f>
        <v>10</v>
      </c>
      <c r="M24" s="4">
        <f>plan_statystyki!V44</f>
        <v>20</v>
      </c>
      <c r="N24" s="4">
        <f>plan_statystyki!AA44</f>
        <v>0</v>
      </c>
      <c r="O24" s="4">
        <f>plan_statystyki!AE44</f>
        <v>0</v>
      </c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  <c r="AA24" s="392"/>
      <c r="AB24" s="392"/>
      <c r="AC24" s="392"/>
      <c r="AD24" s="392"/>
      <c r="AE24" s="392"/>
      <c r="AF24" s="392"/>
      <c r="AG24" s="392"/>
      <c r="AH24" s="392"/>
      <c r="AI24" s="392"/>
      <c r="AJ24" s="392"/>
      <c r="AK24" s="392"/>
      <c r="AL24" s="392"/>
      <c r="AM24" s="392"/>
    </row>
    <row r="25" spans="1:39" x14ac:dyDescent="0.25">
      <c r="A25" s="7" t="s">
        <v>299</v>
      </c>
      <c r="B25" s="376" t="str">
        <f>plan_statystyki!C47</f>
        <v>Kosmetologia pielęgnacyjna/cz.2-full</v>
      </c>
      <c r="C25" s="4" t="str">
        <f>plan_statystyki!D47</f>
        <v>Zakład Kosmetologii i Medycyny Estetycznej</v>
      </c>
      <c r="D25" s="4">
        <f>plan_statystyki!E47</f>
        <v>65</v>
      </c>
      <c r="E25" s="4">
        <f>plan_statystyki!F47</f>
        <v>6</v>
      </c>
      <c r="F25" s="382">
        <f t="shared" si="5"/>
        <v>150</v>
      </c>
      <c r="G25" s="4">
        <f t="shared" si="6"/>
        <v>65</v>
      </c>
      <c r="H25" s="4">
        <f>plan_statystyki!G47</f>
        <v>65</v>
      </c>
      <c r="I25" s="4">
        <f>plan_statystyki!I47</f>
        <v>85</v>
      </c>
      <c r="J25" s="4" t="str">
        <f>plan_statystyki!K47</f>
        <v xml:space="preserve">E </v>
      </c>
      <c r="K25" s="4">
        <f>plan_statystyki!L47</f>
        <v>0</v>
      </c>
      <c r="L25" s="4">
        <f>plan_statystyki!Q47</f>
        <v>50</v>
      </c>
      <c r="M25" s="4">
        <f>plan_statystyki!V47</f>
        <v>15</v>
      </c>
      <c r="N25" s="4">
        <f>plan_statystyki!AA47</f>
        <v>0</v>
      </c>
      <c r="O25" s="4">
        <f>plan_statystyki!AE47</f>
        <v>0</v>
      </c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  <c r="AG25" s="392"/>
      <c r="AH25" s="392"/>
      <c r="AI25" s="392"/>
      <c r="AJ25" s="392"/>
      <c r="AK25" s="392"/>
      <c r="AL25" s="392"/>
      <c r="AM25" s="392"/>
    </row>
    <row r="26" spans="1:39" x14ac:dyDescent="0.25">
      <c r="A26" t="s">
        <v>301</v>
      </c>
      <c r="B26" s="377" t="str">
        <f>plan_statystyki!C51</f>
        <v xml:space="preserve">Język obcy dla kosmetologów/cz.1                    </v>
      </c>
      <c r="C26" s="4" t="str">
        <f>plan_statystyki!D51</f>
        <v>Studium Praktycznej Nauki Języków Obcych</v>
      </c>
      <c r="D26" s="4">
        <f>plan_statystyki!E51</f>
        <v>30</v>
      </c>
      <c r="E26" s="4">
        <f>plan_statystyki!F51</f>
        <v>1</v>
      </c>
      <c r="F26" s="382">
        <f>E26*30</f>
        <v>30</v>
      </c>
      <c r="G26" s="4">
        <f t="shared" si="6"/>
        <v>30</v>
      </c>
      <c r="H26" s="4">
        <f>plan_statystyki!G51</f>
        <v>30</v>
      </c>
      <c r="I26" s="4">
        <f>plan_statystyki!I51</f>
        <v>0</v>
      </c>
      <c r="J26" s="4" t="str">
        <f>plan_statystyki!K51</f>
        <v>Z</v>
      </c>
      <c r="K26" s="4">
        <f>plan_statystyki!L51</f>
        <v>0</v>
      </c>
      <c r="L26" s="4">
        <f>plan_statystyki!Q51</f>
        <v>0</v>
      </c>
      <c r="M26" s="4">
        <f>plan_statystyki!V51</f>
        <v>30</v>
      </c>
      <c r="N26" s="4">
        <f>plan_statystyki!AA51</f>
        <v>0</v>
      </c>
      <c r="O26" s="4">
        <f>plan_statystyki!AE51</f>
        <v>0</v>
      </c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  <c r="AA26" s="392"/>
      <c r="AB26" s="392"/>
      <c r="AC26" s="392"/>
      <c r="AD26" s="392"/>
      <c r="AE26" s="392"/>
      <c r="AF26" s="392"/>
      <c r="AG26" s="392"/>
      <c r="AH26" s="392"/>
      <c r="AI26" s="392"/>
      <c r="AJ26" s="392"/>
      <c r="AK26" s="392"/>
      <c r="AL26" s="392"/>
      <c r="AM26" s="392"/>
    </row>
    <row r="27" spans="1:39" x14ac:dyDescent="0.25">
      <c r="A27" t="s">
        <v>301</v>
      </c>
      <c r="B27" s="377" t="str">
        <f>plan_statystyki!C52</f>
        <v>Kształtowanie sylwetki i postawy ciała/Ćwiczenia fitness "do wyboru"/cz.2</v>
      </c>
      <c r="C27" s="4" t="str">
        <f>plan_statystyki!D52</f>
        <v>Studium WF i Sportu</v>
      </c>
      <c r="D27" s="4">
        <f>plan_statystyki!E52</f>
        <v>20</v>
      </c>
      <c r="E27" s="4">
        <f>plan_statystyki!F52</f>
        <v>0</v>
      </c>
      <c r="F27" s="382">
        <f t="shared" si="5"/>
        <v>0</v>
      </c>
      <c r="G27" s="4">
        <f t="shared" si="6"/>
        <v>20</v>
      </c>
      <c r="H27" s="4">
        <f>plan_statystyki!G52</f>
        <v>20</v>
      </c>
      <c r="I27" s="4">
        <f>plan_statystyki!I52</f>
        <v>0</v>
      </c>
      <c r="J27" s="4" t="str">
        <f>plan_statystyki!K52</f>
        <v>Z</v>
      </c>
      <c r="K27" s="4">
        <f>plan_statystyki!L52</f>
        <v>0</v>
      </c>
      <c r="L27" s="4">
        <f>plan_statystyki!Q52</f>
        <v>20</v>
      </c>
      <c r="M27" s="4">
        <f>plan_statystyki!V52</f>
        <v>0</v>
      </c>
      <c r="N27" s="4">
        <f>plan_statystyki!AA52</f>
        <v>0</v>
      </c>
      <c r="O27" s="4">
        <f>plan_statystyki!AE52</f>
        <v>0</v>
      </c>
      <c r="P27" s="392"/>
      <c r="Q27" s="392"/>
      <c r="R27" s="392"/>
      <c r="S27" s="392"/>
      <c r="T27" s="392"/>
      <c r="U27" s="392"/>
      <c r="V27" s="392"/>
      <c r="W27" s="392"/>
      <c r="X27" s="392"/>
      <c r="Y27" s="392"/>
      <c r="Z27" s="392"/>
      <c r="AA27" s="392"/>
      <c r="AB27" s="392"/>
      <c r="AC27" s="392"/>
      <c r="AD27" s="392"/>
      <c r="AE27" s="392"/>
      <c r="AF27" s="392"/>
      <c r="AG27" s="392"/>
      <c r="AH27" s="392"/>
      <c r="AI27" s="392"/>
      <c r="AJ27" s="392"/>
      <c r="AK27" s="392"/>
      <c r="AL27" s="392"/>
      <c r="AM27" s="392"/>
    </row>
    <row r="28" spans="1:39" x14ac:dyDescent="0.25">
      <c r="A28" t="s">
        <v>303</v>
      </c>
      <c r="B28" s="378" t="str">
        <f>plan_statystyki!C56</f>
        <v>Fakultety wolne - do wyboru  6 ECTS</v>
      </c>
      <c r="C28" s="4">
        <f>plan_statystyki!D56</f>
        <v>0</v>
      </c>
      <c r="D28" s="4">
        <f>plan_statystyki!E56</f>
        <v>60</v>
      </c>
      <c r="E28" s="4">
        <f>plan_statystyki!F56</f>
        <v>6</v>
      </c>
      <c r="F28" s="382">
        <f t="shared" si="5"/>
        <v>150</v>
      </c>
      <c r="G28" s="4">
        <f t="shared" si="6"/>
        <v>60</v>
      </c>
      <c r="H28" s="4">
        <f>plan_statystyki!G56</f>
        <v>60</v>
      </c>
      <c r="I28" s="4">
        <f>plan_statystyki!I56</f>
        <v>90</v>
      </c>
      <c r="J28" s="4" t="str">
        <f>plan_statystyki!K56</f>
        <v>Z</v>
      </c>
      <c r="K28" s="4">
        <f>plan_statystyki!L56</f>
        <v>0</v>
      </c>
      <c r="L28" s="4">
        <f>plan_statystyki!Q56</f>
        <v>0</v>
      </c>
      <c r="M28" s="4">
        <f>plan_statystyki!V56</f>
        <v>60</v>
      </c>
      <c r="N28" s="4">
        <f>plan_statystyki!AA56</f>
        <v>0</v>
      </c>
      <c r="O28" s="4">
        <f>plan_statystyki!AE56</f>
        <v>0</v>
      </c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  <c r="AG28" s="392"/>
      <c r="AH28" s="392"/>
      <c r="AI28" s="392"/>
      <c r="AJ28" s="392"/>
      <c r="AK28" s="392"/>
      <c r="AL28" s="392"/>
      <c r="AM28" s="392"/>
    </row>
    <row r="29" spans="1:39" x14ac:dyDescent="0.25">
      <c r="A29" t="s">
        <v>287</v>
      </c>
      <c r="B29" s="380" t="str">
        <f>plan_statystyki!C64</f>
        <v>Praktyki zawodowe śródroczne ("do wyboru")</v>
      </c>
      <c r="C29" s="4" t="str">
        <f>plan_statystyki!D64</f>
        <v>Gabinet kosmetyczny zewnętrzny</v>
      </c>
      <c r="D29" s="4">
        <f>plan_statystyki!E64</f>
        <v>75</v>
      </c>
      <c r="E29" s="4">
        <f>plan_statystyki!F64</f>
        <v>3</v>
      </c>
      <c r="F29" s="382">
        <f t="shared" si="5"/>
        <v>75</v>
      </c>
      <c r="G29" s="4">
        <f t="shared" si="6"/>
        <v>75</v>
      </c>
      <c r="H29" s="4">
        <f>plan_statystyki!G64</f>
        <v>5</v>
      </c>
      <c r="I29" s="4">
        <f>plan_statystyki!I64</f>
        <v>70</v>
      </c>
      <c r="J29" s="4" t="str">
        <f>plan_statystyki!K64</f>
        <v>ZO</v>
      </c>
      <c r="K29" s="4">
        <f>plan_statystyki!L64</f>
        <v>0</v>
      </c>
      <c r="L29" s="4">
        <f>plan_statystyki!Q64</f>
        <v>0</v>
      </c>
      <c r="M29" s="4">
        <f>plan_statystyki!V64</f>
        <v>0</v>
      </c>
      <c r="N29" s="4">
        <f>plan_statystyki!AA64</f>
        <v>0</v>
      </c>
      <c r="O29" s="4">
        <f>plan_statystyki!AE64</f>
        <v>75</v>
      </c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  <c r="AG29" s="392"/>
      <c r="AH29" s="392"/>
      <c r="AI29" s="392"/>
      <c r="AJ29" s="392"/>
      <c r="AK29" s="392"/>
      <c r="AL29" s="392"/>
      <c r="AM29" s="392"/>
    </row>
    <row r="30" spans="1:39" x14ac:dyDescent="0.25">
      <c r="B30" s="353" t="s">
        <v>304</v>
      </c>
      <c r="C30" s="4">
        <f>plan_statystyki!D66</f>
        <v>0</v>
      </c>
      <c r="D30" s="4">
        <f>plan_statystyki!E66</f>
        <v>420</v>
      </c>
      <c r="E30" s="5">
        <f>plan_statystyki!F66</f>
        <v>30</v>
      </c>
      <c r="F30" s="5">
        <f t="shared" si="5"/>
        <v>750</v>
      </c>
      <c r="G30" s="5">
        <f t="shared" si="6"/>
        <v>420</v>
      </c>
      <c r="H30" s="5">
        <f>plan_statystyki!G66</f>
        <v>350</v>
      </c>
      <c r="I30" s="5">
        <f>plan_statystyki!I66</f>
        <v>425</v>
      </c>
      <c r="J30" s="4"/>
      <c r="K30" s="5">
        <f>plan_statystyki!L66</f>
        <v>45</v>
      </c>
      <c r="L30" s="5">
        <f>plan_statystyki!Q66</f>
        <v>120</v>
      </c>
      <c r="M30" s="5">
        <f>plan_statystyki!V66</f>
        <v>180</v>
      </c>
      <c r="N30" s="5">
        <f>plan_statystyki!AA66</f>
        <v>0</v>
      </c>
      <c r="O30" s="5">
        <f>plan_statystyki!AE66</f>
        <v>75</v>
      </c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2"/>
      <c r="AG30" s="392"/>
      <c r="AH30" s="392"/>
      <c r="AI30" s="392"/>
      <c r="AJ30" s="392"/>
      <c r="AK30" s="392"/>
      <c r="AL30" s="392"/>
      <c r="AM30" s="392"/>
    </row>
    <row r="31" spans="1:39" x14ac:dyDescent="0.25">
      <c r="B31" s="353" t="s">
        <v>305</v>
      </c>
      <c r="C31" s="4"/>
      <c r="D31" s="4"/>
      <c r="E31" s="4"/>
      <c r="F31" s="4"/>
      <c r="G31" s="4"/>
      <c r="H31" s="4"/>
      <c r="I31" s="3" t="s">
        <v>306</v>
      </c>
      <c r="J31" s="382"/>
      <c r="K31" s="3" t="s">
        <v>289</v>
      </c>
      <c r="L31" s="3" t="s">
        <v>298</v>
      </c>
      <c r="M31" s="3" t="s">
        <v>291</v>
      </c>
      <c r="N31" s="3" t="s">
        <v>307</v>
      </c>
      <c r="O31" s="381" t="s">
        <v>308</v>
      </c>
      <c r="P31" s="392"/>
      <c r="Q31" s="392"/>
      <c r="R31" s="392"/>
      <c r="S31" s="392"/>
      <c r="T31" s="392"/>
      <c r="U31" s="392"/>
      <c r="V31" s="392"/>
      <c r="W31" s="392"/>
      <c r="X31" s="392"/>
      <c r="Y31" s="392"/>
      <c r="Z31" s="392"/>
      <c r="AA31" s="392"/>
      <c r="AB31" s="392"/>
      <c r="AC31" s="392"/>
      <c r="AD31" s="392"/>
      <c r="AE31" s="392"/>
      <c r="AF31" s="392"/>
      <c r="AG31" s="392"/>
      <c r="AH31" s="392"/>
      <c r="AI31" s="392"/>
      <c r="AJ31" s="392"/>
      <c r="AK31" s="392"/>
      <c r="AL31" s="392"/>
      <c r="AM31" s="392"/>
    </row>
    <row r="32" spans="1:39" x14ac:dyDescent="0.25">
      <c r="B32" s="353"/>
      <c r="C32" s="4"/>
      <c r="D32" s="4"/>
      <c r="E32" s="4"/>
      <c r="F32" s="4"/>
      <c r="G32" s="4"/>
      <c r="H32" s="4"/>
      <c r="I32" s="384">
        <f>I30/F30*100</f>
        <v>56.666666666666664</v>
      </c>
      <c r="J32" s="382"/>
      <c r="K32" s="384">
        <f>K30/$G$30*100</f>
        <v>10.714285714285714</v>
      </c>
      <c r="L32" s="384">
        <f>L30/$G$30*100</f>
        <v>28.571428571428569</v>
      </c>
      <c r="M32" s="384">
        <f>M30/$G$30*100</f>
        <v>42.857142857142854</v>
      </c>
      <c r="N32" s="384">
        <f t="shared" ref="N32" si="7">N30/$G$30*100</f>
        <v>0</v>
      </c>
      <c r="O32" s="384">
        <f>O30/$G$30*100</f>
        <v>17.857142857142858</v>
      </c>
      <c r="P32" s="392"/>
      <c r="Q32" s="392"/>
      <c r="R32" s="392"/>
      <c r="S32" s="392"/>
      <c r="T32" s="392"/>
      <c r="U32" s="392"/>
      <c r="V32" s="392"/>
      <c r="W32" s="392"/>
      <c r="X32" s="392"/>
      <c r="Y32" s="392"/>
      <c r="Z32" s="39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2"/>
      <c r="AK32" s="392"/>
      <c r="AL32" s="392"/>
      <c r="AM32" s="392"/>
    </row>
    <row r="33" spans="1:39" x14ac:dyDescent="0.25">
      <c r="B33" s="5" t="str">
        <f>plan_statystyki!G69</f>
        <v>SEMESTR III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  <c r="AA33" s="392"/>
      <c r="AB33" s="392"/>
      <c r="AC33" s="392"/>
      <c r="AD33" s="392"/>
      <c r="AE33" s="392"/>
      <c r="AF33" s="392"/>
      <c r="AG33" s="392"/>
      <c r="AH33" s="392"/>
      <c r="AI33" s="392"/>
      <c r="AJ33" s="392"/>
      <c r="AK33" s="392"/>
      <c r="AL33" s="392"/>
      <c r="AM33" s="392"/>
    </row>
    <row r="34" spans="1:39" x14ac:dyDescent="0.25">
      <c r="A34" t="s">
        <v>296</v>
      </c>
      <c r="B34" s="375" t="str">
        <f>plan_statystyki!C74</f>
        <v>Mikrobiologia</v>
      </c>
      <c r="C34" s="4" t="str">
        <f>plan_statystyki!D74</f>
        <v>Katedra i Zakład Mikrobiologii Farmaceutycznej z Pracownią Diagnostyki Mikrobiologicznej</v>
      </c>
      <c r="D34" s="4">
        <f>plan_statystyki!E74</f>
        <v>70</v>
      </c>
      <c r="E34" s="4">
        <f>plan_statystyki!F74</f>
        <v>5</v>
      </c>
      <c r="F34" s="382">
        <f t="shared" ref="F34:F44" si="8">E34*25</f>
        <v>125</v>
      </c>
      <c r="G34" s="4">
        <f t="shared" ref="G34:G44" si="9">D34</f>
        <v>70</v>
      </c>
      <c r="H34" s="4">
        <f>plan_statystyki!G74</f>
        <v>70</v>
      </c>
      <c r="I34" s="4">
        <f>plan_statystyki!I74</f>
        <v>55</v>
      </c>
      <c r="J34" s="4" t="str">
        <f>plan_statystyki!K74</f>
        <v>E</v>
      </c>
      <c r="K34" s="4">
        <f>plan_statystyki!L74</f>
        <v>20</v>
      </c>
      <c r="L34" s="4">
        <f>plan_statystyki!Q74</f>
        <v>30</v>
      </c>
      <c r="M34" s="4">
        <f>plan_statystyki!V74</f>
        <v>20</v>
      </c>
      <c r="N34" s="4">
        <f>plan_statystyki!AA74</f>
        <v>0</v>
      </c>
      <c r="O34" s="4">
        <f>plan_statystyki!AE74</f>
        <v>0</v>
      </c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</row>
    <row r="35" spans="1:39" x14ac:dyDescent="0.25">
      <c r="A35" t="s">
        <v>296</v>
      </c>
      <c r="B35" s="375" t="str">
        <f>plan_statystyki!C75</f>
        <v>Immunologia</v>
      </c>
      <c r="C35" s="4" t="str">
        <f>plan_statystyki!D75</f>
        <v>Katedra i Zakład Immunologii Klinicznej</v>
      </c>
      <c r="D35" s="4">
        <f>plan_statystyki!E75</f>
        <v>20</v>
      </c>
      <c r="E35" s="4">
        <f>plan_statystyki!F75</f>
        <v>1</v>
      </c>
      <c r="F35" s="382">
        <f t="shared" si="8"/>
        <v>25</v>
      </c>
      <c r="G35" s="4">
        <f t="shared" si="9"/>
        <v>20</v>
      </c>
      <c r="H35" s="4">
        <f>plan_statystyki!G75</f>
        <v>20</v>
      </c>
      <c r="I35" s="4">
        <f>plan_statystyki!I75</f>
        <v>5</v>
      </c>
      <c r="J35" s="4" t="str">
        <f>plan_statystyki!K75</f>
        <v>ZO</v>
      </c>
      <c r="K35" s="4">
        <f>plan_statystyki!L75</f>
        <v>5</v>
      </c>
      <c r="L35" s="4">
        <f>plan_statystyki!Q75</f>
        <v>10</v>
      </c>
      <c r="M35" s="4">
        <f>plan_statystyki!V75</f>
        <v>5</v>
      </c>
      <c r="N35" s="4">
        <f>plan_statystyki!AA75</f>
        <v>0</v>
      </c>
      <c r="O35" s="4">
        <f>plan_statystyki!AE75</f>
        <v>0</v>
      </c>
      <c r="P35" s="392"/>
      <c r="Q35" s="392"/>
      <c r="R35" s="392"/>
      <c r="S35" s="392"/>
      <c r="T35" s="392"/>
      <c r="U35" s="392"/>
      <c r="V35" s="392"/>
      <c r="W35" s="392"/>
      <c r="X35" s="392"/>
      <c r="Y35" s="392"/>
      <c r="Z35" s="392"/>
      <c r="AA35" s="392"/>
      <c r="AB35" s="392"/>
      <c r="AC35" s="392"/>
      <c r="AD35" s="392"/>
      <c r="AE35" s="392"/>
      <c r="AF35" s="392"/>
      <c r="AG35" s="392"/>
      <c r="AH35" s="392"/>
      <c r="AI35" s="392"/>
      <c r="AJ35" s="392"/>
      <c r="AK35" s="392"/>
      <c r="AL35" s="392"/>
      <c r="AM35" s="392"/>
    </row>
    <row r="36" spans="1:39" x14ac:dyDescent="0.25">
      <c r="A36" s="7" t="s">
        <v>299</v>
      </c>
      <c r="B36" s="376" t="str">
        <f>plan_statystyki!C78</f>
        <v>Dermatologia</v>
      </c>
      <c r="C36" s="4" t="str">
        <f>plan_statystyki!D78</f>
        <v>Katedra i Klinika Dermatologii, Wenerologii i Dermatologii Dziecięcej</v>
      </c>
      <c r="D36" s="4">
        <f>plan_statystyki!E78</f>
        <v>70</v>
      </c>
      <c r="E36" s="4">
        <f>plan_statystyki!F78</f>
        <v>5</v>
      </c>
      <c r="F36" s="382">
        <f t="shared" si="8"/>
        <v>125</v>
      </c>
      <c r="G36" s="4">
        <f t="shared" si="9"/>
        <v>70</v>
      </c>
      <c r="H36" s="4">
        <f>plan_statystyki!G78</f>
        <v>70</v>
      </c>
      <c r="I36" s="4">
        <f>plan_statystyki!I78</f>
        <v>55</v>
      </c>
      <c r="J36" s="4" t="str">
        <f>plan_statystyki!K78</f>
        <v>E</v>
      </c>
      <c r="K36" s="4">
        <f>plan_statystyki!L78</f>
        <v>20</v>
      </c>
      <c r="L36" s="4">
        <f>plan_statystyki!Q78</f>
        <v>20</v>
      </c>
      <c r="M36" s="4">
        <f>plan_statystyki!V78</f>
        <v>30</v>
      </c>
      <c r="N36" s="4">
        <f>plan_statystyki!AA78</f>
        <v>0</v>
      </c>
      <c r="O36" s="4">
        <f>plan_statystyki!AE78</f>
        <v>0</v>
      </c>
      <c r="P36" s="392"/>
      <c r="Q36" s="392"/>
      <c r="R36" s="392"/>
      <c r="S36" s="392"/>
      <c r="T36" s="392"/>
      <c r="U36" s="392"/>
      <c r="V36" s="392"/>
      <c r="W36" s="392"/>
      <c r="X36" s="392"/>
      <c r="Y36" s="392"/>
      <c r="Z36" s="392"/>
      <c r="AA36" s="392"/>
      <c r="AB36" s="392"/>
      <c r="AC36" s="392"/>
      <c r="AD36" s="392"/>
      <c r="AE36" s="392"/>
      <c r="AF36" s="392"/>
      <c r="AG36" s="392"/>
      <c r="AH36" s="392"/>
      <c r="AI36" s="392"/>
      <c r="AJ36" s="392"/>
      <c r="AK36" s="392"/>
      <c r="AL36" s="392"/>
      <c r="AM36" s="392"/>
    </row>
    <row r="37" spans="1:39" x14ac:dyDescent="0.25">
      <c r="A37" t="s">
        <v>300</v>
      </c>
      <c r="B37" s="377" t="str">
        <f>plan_statystyki!C81</f>
        <v>Dyspersja i inne zjawiska w preparatach kosmetycznych</v>
      </c>
      <c r="C37" s="4" t="str">
        <f>plan_statystyki!D81</f>
        <v>Zakład Chemii Fizycznej Katedry Chemii</v>
      </c>
      <c r="D37" s="4">
        <f>plan_statystyki!E81</f>
        <v>40</v>
      </c>
      <c r="E37" s="4">
        <f>plan_statystyki!F81</f>
        <v>3</v>
      </c>
      <c r="F37" s="382">
        <f t="shared" si="8"/>
        <v>75</v>
      </c>
      <c r="G37" s="4">
        <f t="shared" si="9"/>
        <v>40</v>
      </c>
      <c r="H37" s="4">
        <f>plan_statystyki!G81</f>
        <v>40</v>
      </c>
      <c r="I37" s="4">
        <f>plan_statystyki!I81</f>
        <v>35</v>
      </c>
      <c r="J37" s="4" t="str">
        <f>plan_statystyki!K81</f>
        <v>ZO</v>
      </c>
      <c r="K37" s="4">
        <f>plan_statystyki!L81</f>
        <v>10</v>
      </c>
      <c r="L37" s="4">
        <f>plan_statystyki!Q81</f>
        <v>25</v>
      </c>
      <c r="M37" s="4">
        <f>plan_statystyki!V81</f>
        <v>5</v>
      </c>
      <c r="N37" s="4">
        <f>plan_statystyki!AA81</f>
        <v>0</v>
      </c>
      <c r="O37" s="4">
        <f>plan_statystyki!AE81</f>
        <v>0</v>
      </c>
      <c r="P37" s="392"/>
      <c r="Q37" s="3"/>
      <c r="R37" s="3"/>
      <c r="S37" s="3"/>
      <c r="T37" s="3"/>
      <c r="U37" s="3"/>
      <c r="V37" s="3"/>
      <c r="W37" s="392"/>
      <c r="X37" s="392"/>
      <c r="Y37" s="392"/>
      <c r="Z37" s="392"/>
      <c r="AA37" s="392"/>
      <c r="AB37" s="392"/>
      <c r="AC37" s="392"/>
      <c r="AD37" s="392"/>
      <c r="AE37" s="392"/>
      <c r="AF37" s="392"/>
      <c r="AG37" s="392"/>
      <c r="AH37" s="392"/>
      <c r="AI37" s="392"/>
      <c r="AJ37" s="392"/>
      <c r="AK37" s="392"/>
      <c r="AL37" s="392"/>
      <c r="AM37" s="392"/>
    </row>
    <row r="38" spans="1:39" x14ac:dyDescent="0.25">
      <c r="A38" t="s">
        <v>300</v>
      </c>
      <c r="B38" s="377" t="str">
        <f>plan_statystyki!C82</f>
        <v xml:space="preserve">Podstawy ziołolecznictwa </v>
      </c>
      <c r="C38" s="4" t="str">
        <f>plan_statystyki!D82</f>
        <v>Zakład Farmakognozji z Ogrodem Roślin Leczniczych</v>
      </c>
      <c r="D38" s="4">
        <f>plan_statystyki!E82</f>
        <v>50</v>
      </c>
      <c r="E38" s="4">
        <f>plan_statystyki!F82</f>
        <v>4</v>
      </c>
      <c r="F38" s="382">
        <f t="shared" si="8"/>
        <v>100</v>
      </c>
      <c r="G38" s="4">
        <f t="shared" si="9"/>
        <v>50</v>
      </c>
      <c r="H38" s="4">
        <f>plan_statystyki!G82</f>
        <v>50</v>
      </c>
      <c r="I38" s="4">
        <f>plan_statystyki!I82</f>
        <v>50</v>
      </c>
      <c r="J38" s="4" t="str">
        <f>plan_statystyki!K82</f>
        <v>E</v>
      </c>
      <c r="K38" s="4">
        <f>plan_statystyki!L82</f>
        <v>20</v>
      </c>
      <c r="L38" s="4">
        <f>plan_statystyki!Q82</f>
        <v>20</v>
      </c>
      <c r="M38" s="4">
        <f>plan_statystyki!V82</f>
        <v>10</v>
      </c>
      <c r="N38" s="4">
        <f>plan_statystyki!AA82</f>
        <v>0</v>
      </c>
      <c r="O38" s="4">
        <f>plan_statystyki!AE82</f>
        <v>0</v>
      </c>
      <c r="P38" s="392"/>
      <c r="Q38" s="384"/>
      <c r="R38" s="384"/>
      <c r="S38" s="384"/>
      <c r="T38" s="384"/>
      <c r="U38" s="384"/>
      <c r="V38" s="384"/>
      <c r="W38" s="392"/>
      <c r="X38" s="392"/>
      <c r="Y38" s="392"/>
      <c r="Z38" s="392"/>
      <c r="AA38" s="392"/>
      <c r="AB38" s="392"/>
      <c r="AC38" s="392"/>
      <c r="AD38" s="392"/>
      <c r="AE38" s="392"/>
      <c r="AF38" s="392"/>
      <c r="AG38" s="392"/>
      <c r="AH38" s="392"/>
      <c r="AI38" s="392"/>
      <c r="AJ38" s="392"/>
      <c r="AK38" s="392"/>
      <c r="AL38" s="392"/>
      <c r="AM38" s="392"/>
    </row>
    <row r="39" spans="1:39" x14ac:dyDescent="0.25">
      <c r="A39" t="s">
        <v>300</v>
      </c>
      <c r="B39" s="377" t="str">
        <f>plan_statystyki!C83</f>
        <v>Podologia</v>
      </c>
      <c r="C39" s="4" t="str">
        <f>plan_statystyki!D83</f>
        <v>Zakład Kosmetologii i Medycyny Estetycznej</v>
      </c>
      <c r="D39" s="4">
        <f>plan_statystyki!E83</f>
        <v>20</v>
      </c>
      <c r="E39" s="4">
        <f>plan_statystyki!F83</f>
        <v>2</v>
      </c>
      <c r="F39" s="382">
        <f t="shared" si="8"/>
        <v>50</v>
      </c>
      <c r="G39" s="4">
        <f t="shared" si="9"/>
        <v>20</v>
      </c>
      <c r="H39" s="4">
        <f>plan_statystyki!G83</f>
        <v>20</v>
      </c>
      <c r="I39" s="4">
        <f>plan_statystyki!I83</f>
        <v>30</v>
      </c>
      <c r="J39" s="4" t="str">
        <f>plan_statystyki!K83</f>
        <v>ZO</v>
      </c>
      <c r="K39" s="4">
        <f>plan_statystyki!L83</f>
        <v>0</v>
      </c>
      <c r="L39" s="4">
        <f>plan_statystyki!Q83</f>
        <v>15</v>
      </c>
      <c r="M39" s="4">
        <f>plan_statystyki!V83</f>
        <v>5</v>
      </c>
      <c r="N39" s="4">
        <f>plan_statystyki!AA83</f>
        <v>0</v>
      </c>
      <c r="O39" s="4">
        <f>plan_statystyki!AE83</f>
        <v>0</v>
      </c>
      <c r="P39" s="392"/>
      <c r="Q39" s="392"/>
      <c r="R39" s="392"/>
      <c r="S39" s="392"/>
      <c r="T39" s="392"/>
      <c r="U39" s="392"/>
      <c r="V39" s="392"/>
      <c r="W39" s="392"/>
      <c r="X39" s="392"/>
      <c r="Y39" s="392"/>
      <c r="Z39" s="392"/>
      <c r="AA39" s="392"/>
      <c r="AB39" s="392"/>
      <c r="AC39" s="392"/>
      <c r="AD39" s="392"/>
      <c r="AE39" s="392"/>
      <c r="AF39" s="392"/>
      <c r="AG39" s="392"/>
      <c r="AH39" s="392"/>
      <c r="AI39" s="392"/>
      <c r="AJ39" s="392"/>
      <c r="AK39" s="392"/>
      <c r="AL39" s="392"/>
      <c r="AM39" s="392"/>
    </row>
    <row r="40" spans="1:39" x14ac:dyDescent="0.25">
      <c r="A40" t="s">
        <v>301</v>
      </c>
      <c r="B40" s="377" t="str">
        <f>plan_statystyki!C84</f>
        <v xml:space="preserve">Język obcy dla kosmetologów/cz.2                    </v>
      </c>
      <c r="C40" s="4" t="str">
        <f>plan_statystyki!D84</f>
        <v>Studium Praktycznej Nauki Języków Obcych</v>
      </c>
      <c r="D40" s="4">
        <f>plan_statystyki!E84</f>
        <v>30</v>
      </c>
      <c r="E40" s="4">
        <f>plan_statystyki!F84</f>
        <v>1</v>
      </c>
      <c r="F40" s="382">
        <f>E40*30</f>
        <v>30</v>
      </c>
      <c r="G40" s="4">
        <f t="shared" si="9"/>
        <v>30</v>
      </c>
      <c r="H40" s="4">
        <f>plan_statystyki!G84</f>
        <v>30</v>
      </c>
      <c r="I40" s="4">
        <f>plan_statystyki!I84</f>
        <v>0</v>
      </c>
      <c r="J40" s="4" t="str">
        <f>plan_statystyki!K84</f>
        <v>Z</v>
      </c>
      <c r="K40" s="4">
        <f>plan_statystyki!L84</f>
        <v>0</v>
      </c>
      <c r="L40" s="4">
        <f>plan_statystyki!Q84</f>
        <v>0</v>
      </c>
      <c r="M40" s="4">
        <f>plan_statystyki!V84</f>
        <v>30</v>
      </c>
      <c r="N40" s="4">
        <f>plan_statystyki!AA84</f>
        <v>0</v>
      </c>
      <c r="O40" s="4">
        <f>plan_statystyki!AE84</f>
        <v>0</v>
      </c>
      <c r="P40" s="392"/>
      <c r="Q40" s="392"/>
      <c r="R40" s="392"/>
      <c r="S40" s="392"/>
      <c r="T40" s="392"/>
      <c r="U40" s="392"/>
      <c r="V40" s="392"/>
      <c r="W40" s="392"/>
      <c r="X40" s="392"/>
      <c r="Y40" s="392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2"/>
      <c r="AK40" s="392"/>
      <c r="AL40" s="392"/>
      <c r="AM40" s="392"/>
    </row>
    <row r="41" spans="1:39" x14ac:dyDescent="0.25">
      <c r="A41" t="s">
        <v>301</v>
      </c>
      <c r="B41" s="377" t="str">
        <f>plan_statystyki!C85</f>
        <v>Kształtowanie sylwetki i postawy ciała/Ćwiczenia fitness "do wyboru"/cz.3-full</v>
      </c>
      <c r="C41" s="4" t="str">
        <f>plan_statystyki!D85</f>
        <v>Studium WF i Sportu</v>
      </c>
      <c r="D41" s="4">
        <f>plan_statystyki!E85</f>
        <v>20</v>
      </c>
      <c r="E41" s="4">
        <f>plan_statystyki!F85</f>
        <v>0</v>
      </c>
      <c r="F41" s="382">
        <f t="shared" si="8"/>
        <v>0</v>
      </c>
      <c r="G41" s="4">
        <f t="shared" si="9"/>
        <v>20</v>
      </c>
      <c r="H41" s="4">
        <f>plan_statystyki!G85</f>
        <v>20</v>
      </c>
      <c r="I41" s="4">
        <f>plan_statystyki!I85</f>
        <v>0</v>
      </c>
      <c r="J41" s="4" t="str">
        <f>plan_statystyki!K85</f>
        <v>Z</v>
      </c>
      <c r="K41" s="4">
        <f>plan_statystyki!L85</f>
        <v>0</v>
      </c>
      <c r="L41" s="4">
        <f>plan_statystyki!Q85</f>
        <v>20</v>
      </c>
      <c r="M41" s="4">
        <f>plan_statystyki!V85</f>
        <v>0</v>
      </c>
      <c r="N41" s="4">
        <f>plan_statystyki!AA85</f>
        <v>0</v>
      </c>
      <c r="O41" s="4">
        <f>plan_statystyki!AE85</f>
        <v>0</v>
      </c>
      <c r="P41" s="392"/>
      <c r="Q41" s="392"/>
      <c r="R41" s="392"/>
      <c r="S41" s="392"/>
      <c r="T41" s="392"/>
      <c r="U41" s="392"/>
      <c r="V41" s="392"/>
      <c r="W41" s="392"/>
      <c r="X41" s="392"/>
      <c r="Y41" s="392"/>
      <c r="Z41" s="392"/>
      <c r="AA41" s="392"/>
      <c r="AB41" s="392"/>
      <c r="AC41" s="392"/>
      <c r="AD41" s="392"/>
      <c r="AE41" s="392"/>
      <c r="AF41" s="392"/>
      <c r="AG41" s="392"/>
      <c r="AH41" s="392"/>
      <c r="AI41" s="392"/>
      <c r="AJ41" s="392"/>
      <c r="AK41" s="392"/>
      <c r="AL41" s="392"/>
      <c r="AM41" s="392"/>
    </row>
    <row r="42" spans="1:39" x14ac:dyDescent="0.25">
      <c r="A42" t="s">
        <v>300</v>
      </c>
      <c r="B42" s="377" t="str">
        <f>plan_statystyki!C86</f>
        <v>Wizaż i stylizacja</v>
      </c>
      <c r="C42" s="4" t="str">
        <f>plan_statystyki!D86</f>
        <v>Zakład Kosmetologii i Medycyny Estetycznej</v>
      </c>
      <c r="D42" s="4">
        <f>plan_statystyki!E86</f>
        <v>40</v>
      </c>
      <c r="E42" s="4">
        <f>plan_statystyki!F86</f>
        <v>3</v>
      </c>
      <c r="F42" s="382">
        <f t="shared" si="8"/>
        <v>75</v>
      </c>
      <c r="G42" s="4">
        <f t="shared" si="9"/>
        <v>40</v>
      </c>
      <c r="H42" s="4">
        <f>plan_statystyki!G86</f>
        <v>40</v>
      </c>
      <c r="I42" s="4">
        <f>plan_statystyki!I86</f>
        <v>35</v>
      </c>
      <c r="J42" s="4" t="str">
        <f>plan_statystyki!K86</f>
        <v>ZO</v>
      </c>
      <c r="K42" s="4">
        <f>plan_statystyki!L86</f>
        <v>10</v>
      </c>
      <c r="L42" s="4">
        <f>plan_statystyki!Q86</f>
        <v>20</v>
      </c>
      <c r="M42" s="4">
        <f>plan_statystyki!V86</f>
        <v>10</v>
      </c>
      <c r="N42" s="4">
        <f>plan_statystyki!AA86</f>
        <v>0</v>
      </c>
      <c r="O42" s="4">
        <f>plan_statystyki!AE86</f>
        <v>0</v>
      </c>
      <c r="P42" s="392"/>
      <c r="Q42" s="392"/>
      <c r="R42" s="392"/>
      <c r="S42" s="392"/>
      <c r="T42" s="392"/>
      <c r="U42" s="392"/>
      <c r="V42" s="392"/>
      <c r="W42" s="392"/>
      <c r="X42" s="392"/>
      <c r="Y42" s="392"/>
      <c r="Z42" s="392"/>
      <c r="AA42" s="392"/>
      <c r="AB42" s="392"/>
      <c r="AC42" s="392"/>
      <c r="AD42" s="392"/>
      <c r="AE42" s="392"/>
      <c r="AF42" s="392"/>
      <c r="AG42" s="392"/>
      <c r="AH42" s="392"/>
      <c r="AI42" s="392"/>
      <c r="AJ42" s="392"/>
      <c r="AK42" s="392"/>
      <c r="AL42" s="392"/>
      <c r="AM42" s="392"/>
    </row>
    <row r="43" spans="1:39" x14ac:dyDescent="0.25">
      <c r="A43" t="s">
        <v>303</v>
      </c>
      <c r="B43" s="378" t="str">
        <f>plan_statystyki!C90</f>
        <v>Fakultety wolne - do wyboru  6 ECTS</v>
      </c>
      <c r="C43" s="4">
        <f>plan_statystyki!D90</f>
        <v>0</v>
      </c>
      <c r="D43" s="4">
        <f>plan_statystyki!E90</f>
        <v>60</v>
      </c>
      <c r="E43" s="4">
        <f>plan_statystyki!F90</f>
        <v>6</v>
      </c>
      <c r="F43" s="382">
        <f t="shared" si="8"/>
        <v>150</v>
      </c>
      <c r="G43" s="4">
        <f t="shared" si="9"/>
        <v>60</v>
      </c>
      <c r="H43" s="4">
        <f>plan_statystyki!G90</f>
        <v>60</v>
      </c>
      <c r="I43" s="4">
        <f>plan_statystyki!I90</f>
        <v>90</v>
      </c>
      <c r="J43" s="4" t="str">
        <f>plan_statystyki!K90</f>
        <v>Z</v>
      </c>
      <c r="K43" s="4">
        <f>plan_statystyki!L90</f>
        <v>0</v>
      </c>
      <c r="L43" s="4">
        <f>plan_statystyki!Q90</f>
        <v>0</v>
      </c>
      <c r="M43" s="4">
        <f>plan_statystyki!V90</f>
        <v>60</v>
      </c>
      <c r="N43" s="4">
        <f>plan_statystyki!AA90</f>
        <v>0</v>
      </c>
      <c r="O43" s="4">
        <f>plan_statystyki!AE90</f>
        <v>0</v>
      </c>
      <c r="P43" s="392"/>
      <c r="Q43" s="392"/>
      <c r="R43" s="392"/>
      <c r="S43" s="392"/>
      <c r="T43" s="392"/>
      <c r="U43" s="392"/>
      <c r="V43" s="392"/>
      <c r="W43" s="392"/>
      <c r="X43" s="392"/>
      <c r="Y43" s="392"/>
      <c r="Z43" s="392"/>
      <c r="AA43" s="392"/>
      <c r="AB43" s="392"/>
      <c r="AC43" s="392"/>
      <c r="AD43" s="392"/>
      <c r="AE43" s="392"/>
      <c r="AF43" s="392"/>
      <c r="AG43" s="392"/>
      <c r="AH43" s="392"/>
      <c r="AI43" s="392"/>
      <c r="AJ43" s="392"/>
      <c r="AK43" s="392"/>
      <c r="AL43" s="392"/>
      <c r="AM43" s="392"/>
    </row>
    <row r="44" spans="1:39" x14ac:dyDescent="0.25">
      <c r="B44" s="353" t="s">
        <v>304</v>
      </c>
      <c r="C44" s="4">
        <f>plan_statystyki!D96</f>
        <v>0</v>
      </c>
      <c r="D44" s="4">
        <f>plan_statystyki!E96</f>
        <v>420</v>
      </c>
      <c r="E44" s="5">
        <f>plan_statystyki!F96</f>
        <v>30</v>
      </c>
      <c r="F44" s="5">
        <f t="shared" si="8"/>
        <v>750</v>
      </c>
      <c r="G44" s="5">
        <f t="shared" si="9"/>
        <v>420</v>
      </c>
      <c r="H44" s="5">
        <f>plan_statystyki!G96</f>
        <v>420</v>
      </c>
      <c r="I44" s="5">
        <f>plan_statystyki!I96</f>
        <v>355</v>
      </c>
      <c r="J44" s="5"/>
      <c r="K44" s="5">
        <f>plan_statystyki!L96</f>
        <v>85</v>
      </c>
      <c r="L44" s="5">
        <f>plan_statystyki!Q96</f>
        <v>160</v>
      </c>
      <c r="M44" s="5">
        <f>plan_statystyki!V96</f>
        <v>175</v>
      </c>
      <c r="N44" s="5">
        <f>plan_statystyki!AA96</f>
        <v>0</v>
      </c>
      <c r="O44" s="5">
        <f>plan_statystyki!AE96</f>
        <v>0</v>
      </c>
      <c r="P44" s="392"/>
      <c r="Q44" s="392"/>
      <c r="R44" s="392"/>
      <c r="S44" s="392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2"/>
      <c r="AK44" s="392"/>
      <c r="AL44" s="392"/>
      <c r="AM44" s="392"/>
    </row>
    <row r="45" spans="1:39" x14ac:dyDescent="0.25">
      <c r="B45" s="353" t="s">
        <v>305</v>
      </c>
      <c r="C45" s="4"/>
      <c r="D45" s="4"/>
      <c r="E45" s="4"/>
      <c r="F45" s="4"/>
      <c r="G45" s="4"/>
      <c r="H45" s="4"/>
      <c r="I45" s="3" t="s">
        <v>306</v>
      </c>
      <c r="J45" s="382"/>
      <c r="K45" s="3" t="s">
        <v>289</v>
      </c>
      <c r="L45" s="3" t="s">
        <v>298</v>
      </c>
      <c r="M45" s="3" t="s">
        <v>291</v>
      </c>
      <c r="N45" s="3" t="s">
        <v>307</v>
      </c>
      <c r="O45" s="381" t="s">
        <v>308</v>
      </c>
      <c r="P45" s="392"/>
      <c r="Q45" s="392"/>
      <c r="R45" s="392"/>
      <c r="S45" s="392"/>
      <c r="T45" s="392"/>
      <c r="U45" s="392"/>
      <c r="V45" s="392"/>
      <c r="W45" s="392"/>
      <c r="X45" s="392"/>
      <c r="Y45" s="392"/>
      <c r="Z45" s="392"/>
      <c r="AA45" s="392"/>
      <c r="AB45" s="392"/>
      <c r="AC45" s="392"/>
      <c r="AD45" s="392"/>
      <c r="AE45" s="392"/>
      <c r="AF45" s="392"/>
      <c r="AG45" s="392"/>
      <c r="AH45" s="392"/>
      <c r="AI45" s="392"/>
      <c r="AJ45" s="392"/>
      <c r="AK45" s="392"/>
      <c r="AL45" s="392"/>
      <c r="AM45" s="392"/>
    </row>
    <row r="46" spans="1:39" x14ac:dyDescent="0.25">
      <c r="B46" s="353"/>
      <c r="C46" s="4"/>
      <c r="D46" s="4"/>
      <c r="E46" s="4"/>
      <c r="F46" s="4"/>
      <c r="G46" s="4"/>
      <c r="H46" s="4"/>
      <c r="I46" s="384">
        <f>I44/F44*100</f>
        <v>47.333333333333336</v>
      </c>
      <c r="J46" s="382"/>
      <c r="K46" s="384">
        <f>K44/$G$44*100</f>
        <v>20.238095238095237</v>
      </c>
      <c r="L46" s="384">
        <f>L44/$G$44*100</f>
        <v>38.095238095238095</v>
      </c>
      <c r="M46" s="384">
        <f>M44/$G$44*100</f>
        <v>41.666666666666671</v>
      </c>
      <c r="N46" s="384">
        <f t="shared" ref="N46:O46" si="10">N44/$G$44*100</f>
        <v>0</v>
      </c>
      <c r="O46" s="384">
        <f t="shared" si="10"/>
        <v>0</v>
      </c>
      <c r="Q46" s="382"/>
    </row>
    <row r="47" spans="1:39" x14ac:dyDescent="0.25">
      <c r="B47" s="5" t="str">
        <f>plan_statystyki!G99</f>
        <v>SEMESTR IV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39" x14ac:dyDescent="0.25">
      <c r="A48" t="s">
        <v>296</v>
      </c>
      <c r="B48" s="375" t="str">
        <f>plan_statystyki!C104</f>
        <v>Higiena w aspekcie zawodu kosmetologa</v>
      </c>
      <c r="C48" s="4" t="str">
        <f>plan_statystyki!D104</f>
        <v>Katedra i Zakład Higieny</v>
      </c>
      <c r="D48" s="4">
        <f>plan_statystyki!E104</f>
        <v>20</v>
      </c>
      <c r="E48" s="4">
        <f>plan_statystyki!F104</f>
        <v>1</v>
      </c>
      <c r="F48" s="382">
        <f t="shared" ref="F48:F60" si="11">E48*25</f>
        <v>25</v>
      </c>
      <c r="G48" s="4">
        <f t="shared" ref="G48:G60" si="12">D48</f>
        <v>20</v>
      </c>
      <c r="H48" s="4">
        <f>plan_statystyki!G104</f>
        <v>20</v>
      </c>
      <c r="I48" s="4">
        <f>plan_statystyki!I104</f>
        <v>5</v>
      </c>
      <c r="J48" s="4" t="str">
        <f>plan_statystyki!K104</f>
        <v>ZO</v>
      </c>
      <c r="K48" s="4">
        <f>plan_statystyki!L104</f>
        <v>10</v>
      </c>
      <c r="L48" s="4">
        <f>plan_statystyki!Q104</f>
        <v>0</v>
      </c>
      <c r="M48" s="4">
        <f>plan_statystyki!V104</f>
        <v>10</v>
      </c>
      <c r="N48" s="4">
        <f>plan_statystyki!AA104</f>
        <v>0</v>
      </c>
      <c r="O48" s="4">
        <f>plan_statystyki!AE104</f>
        <v>0</v>
      </c>
    </row>
    <row r="49" spans="1:15" x14ac:dyDescent="0.25">
      <c r="A49" s="7" t="s">
        <v>299</v>
      </c>
      <c r="B49" s="376" t="str">
        <f>plan_statystyki!C107</f>
        <v>Kosmetologia upiększająca</v>
      </c>
      <c r="C49" s="4" t="str">
        <f>plan_statystyki!D107</f>
        <v>Pracownia Kosmetologii i Medycyny Estetycznej</v>
      </c>
      <c r="D49" s="4">
        <f>plan_statystyki!E107</f>
        <v>80</v>
      </c>
      <c r="E49" s="4">
        <f>plan_statystyki!F107</f>
        <v>7</v>
      </c>
      <c r="F49" s="382">
        <f t="shared" si="11"/>
        <v>175</v>
      </c>
      <c r="G49" s="4">
        <f t="shared" si="12"/>
        <v>80</v>
      </c>
      <c r="H49" s="4">
        <f>plan_statystyki!G107</f>
        <v>80</v>
      </c>
      <c r="I49" s="4">
        <f>plan_statystyki!I107</f>
        <v>95</v>
      </c>
      <c r="J49" s="4" t="str">
        <f>plan_statystyki!K107</f>
        <v xml:space="preserve">E </v>
      </c>
      <c r="K49" s="4">
        <f>plan_statystyki!L107</f>
        <v>15</v>
      </c>
      <c r="L49" s="4">
        <f>plan_statystyki!Q107</f>
        <v>50</v>
      </c>
      <c r="M49" s="4">
        <f>plan_statystyki!V107</f>
        <v>15</v>
      </c>
      <c r="N49" s="4">
        <f>plan_statystyki!AA107</f>
        <v>0</v>
      </c>
      <c r="O49" s="4">
        <f>plan_statystyki!AE107</f>
        <v>0</v>
      </c>
    </row>
    <row r="50" spans="1:15" x14ac:dyDescent="0.25">
      <c r="A50" s="7" t="s">
        <v>299</v>
      </c>
      <c r="B50" s="376" t="str">
        <f>plan_statystyki!C108</f>
        <v>Receptura kosmetyczna I</v>
      </c>
      <c r="C50" s="4" t="str">
        <f>plan_statystyki!D108</f>
        <v>Katedra i Zakład Farmacji Stosowanej i Społecznej</v>
      </c>
      <c r="D50" s="4">
        <f>plan_statystyki!E108</f>
        <v>50</v>
      </c>
      <c r="E50" s="4">
        <f>plan_statystyki!F108</f>
        <v>4</v>
      </c>
      <c r="F50" s="382">
        <f t="shared" si="11"/>
        <v>100</v>
      </c>
      <c r="G50" s="4">
        <f t="shared" si="12"/>
        <v>50</v>
      </c>
      <c r="H50" s="4">
        <f>plan_statystyki!G108</f>
        <v>50</v>
      </c>
      <c r="I50" s="4">
        <f>plan_statystyki!I108</f>
        <v>50</v>
      </c>
      <c r="J50" s="4" t="str">
        <f>plan_statystyki!K108</f>
        <v>E</v>
      </c>
      <c r="K50" s="4">
        <f>plan_statystyki!L108</f>
        <v>10</v>
      </c>
      <c r="L50" s="4">
        <f>plan_statystyki!Q108</f>
        <v>30</v>
      </c>
      <c r="M50" s="4">
        <f>plan_statystyki!V108</f>
        <v>10</v>
      </c>
      <c r="N50" s="4">
        <f>plan_statystyki!AA108</f>
        <v>0</v>
      </c>
      <c r="O50" s="4">
        <f>plan_statystyki!AE108</f>
        <v>0</v>
      </c>
    </row>
    <row r="51" spans="1:15" x14ac:dyDescent="0.25">
      <c r="A51" t="s">
        <v>300</v>
      </c>
      <c r="B51" s="377" t="str">
        <f>plan_statystyki!C111</f>
        <v>Kosmetologia geriatryczna</v>
      </c>
      <c r="C51" s="4" t="str">
        <f>plan_statystyki!D111</f>
        <v>Zakład Kosmetologii i Medycyny Estetycznej</v>
      </c>
      <c r="D51" s="4">
        <f>plan_statystyki!E111</f>
        <v>40</v>
      </c>
      <c r="E51" s="4">
        <f>plan_statystyki!F111</f>
        <v>3</v>
      </c>
      <c r="F51" s="382">
        <f t="shared" si="11"/>
        <v>75</v>
      </c>
      <c r="G51" s="4">
        <f t="shared" si="12"/>
        <v>40</v>
      </c>
      <c r="H51" s="4">
        <f>plan_statystyki!G111</f>
        <v>40</v>
      </c>
      <c r="I51" s="4">
        <f>plan_statystyki!I111</f>
        <v>35</v>
      </c>
      <c r="J51" s="564" t="str">
        <f>plan_statystyki!K111</f>
        <v>ZO</v>
      </c>
      <c r="K51" s="4">
        <f>plan_statystyki!L111</f>
        <v>0</v>
      </c>
      <c r="L51" s="4">
        <f>plan_statystyki!Q111</f>
        <v>20</v>
      </c>
      <c r="M51" s="4">
        <f>plan_statystyki!V111</f>
        <v>20</v>
      </c>
      <c r="N51" s="4">
        <f>plan_statystyki!AA111</f>
        <v>0</v>
      </c>
      <c r="O51" s="4">
        <f>plan_statystyki!AE111</f>
        <v>0</v>
      </c>
    </row>
    <row r="52" spans="1:15" x14ac:dyDescent="0.25">
      <c r="A52" t="s">
        <v>300</v>
      </c>
      <c r="B52" s="377" t="str">
        <f>plan_statystyki!C112</f>
        <v>Marketing w kosmetologii</v>
      </c>
      <c r="C52" s="4" t="str">
        <f>plan_statystyki!D112</f>
        <v xml:space="preserve">Zakład Kosmetologii i Medycyny Estetycznej (Apteka on-line-CEM) </v>
      </c>
      <c r="D52" s="4">
        <f>plan_statystyki!E112</f>
        <v>30</v>
      </c>
      <c r="E52" s="4">
        <f>plan_statystyki!F112</f>
        <v>2</v>
      </c>
      <c r="F52" s="382">
        <f t="shared" si="11"/>
        <v>50</v>
      </c>
      <c r="G52" s="4">
        <f t="shared" si="12"/>
        <v>30</v>
      </c>
      <c r="H52" s="4">
        <f>plan_statystyki!G112</f>
        <v>30</v>
      </c>
      <c r="I52" s="4">
        <f>plan_statystyki!I112</f>
        <v>20</v>
      </c>
      <c r="J52" s="564"/>
      <c r="K52" s="4">
        <f>plan_statystyki!L112</f>
        <v>0</v>
      </c>
      <c r="L52" s="4">
        <f>plan_statystyki!Q112</f>
        <v>0</v>
      </c>
      <c r="M52" s="4">
        <f>plan_statystyki!V112</f>
        <v>30</v>
      </c>
      <c r="N52" s="4">
        <f>plan_statystyki!AA112</f>
        <v>0</v>
      </c>
      <c r="O52" s="4">
        <f>plan_statystyki!AE112</f>
        <v>0</v>
      </c>
    </row>
    <row r="53" spans="1:15" x14ac:dyDescent="0.25">
      <c r="A53" t="s">
        <v>300</v>
      </c>
      <c r="B53" s="377" t="str">
        <f>plan_statystyki!C113</f>
        <v>Zasady prawidłowego żywienia i dietetyka</v>
      </c>
      <c r="C53" s="4" t="str">
        <f>plan_statystyki!D113</f>
        <v>Zakład Żywności i Żywienia</v>
      </c>
      <c r="D53" s="4">
        <f>plan_statystyki!E113</f>
        <v>30</v>
      </c>
      <c r="E53" s="4">
        <f>plan_statystyki!F113</f>
        <v>2</v>
      </c>
      <c r="F53" s="382">
        <f t="shared" si="11"/>
        <v>50</v>
      </c>
      <c r="G53" s="4">
        <f t="shared" si="12"/>
        <v>30</v>
      </c>
      <c r="H53" s="4">
        <f>plan_statystyki!G113</f>
        <v>30</v>
      </c>
      <c r="I53" s="4">
        <f>plan_statystyki!I113</f>
        <v>20</v>
      </c>
      <c r="J53" s="4" t="str">
        <f>plan_statystyki!K113</f>
        <v>ZO</v>
      </c>
      <c r="K53" s="4">
        <f>plan_statystyki!L113</f>
        <v>15</v>
      </c>
      <c r="L53" s="4">
        <f>plan_statystyki!Q113</f>
        <v>5</v>
      </c>
      <c r="M53" s="4">
        <f>plan_statystyki!V113</f>
        <v>10</v>
      </c>
      <c r="N53" s="4">
        <f>plan_statystyki!AA113</f>
        <v>0</v>
      </c>
      <c r="O53" s="4">
        <f>plan_statystyki!AE113</f>
        <v>0</v>
      </c>
    </row>
    <row r="54" spans="1:15" x14ac:dyDescent="0.25">
      <c r="A54" t="s">
        <v>300</v>
      </c>
      <c r="B54" s="377" t="str">
        <f>plan_statystyki!C114</f>
        <v>Telekosmetologia</v>
      </c>
      <c r="C54" s="4" t="str">
        <f>plan_statystyki!D114</f>
        <v>Zakład Kosmetologii i Medycyny Estetycznej</v>
      </c>
      <c r="D54" s="4">
        <f>plan_statystyki!E114</f>
        <v>20</v>
      </c>
      <c r="E54" s="4">
        <f>plan_statystyki!F114</f>
        <v>1</v>
      </c>
      <c r="F54" s="382">
        <f t="shared" si="11"/>
        <v>25</v>
      </c>
      <c r="G54" s="4">
        <f t="shared" si="12"/>
        <v>20</v>
      </c>
      <c r="H54" s="4">
        <f>plan_statystyki!G114</f>
        <v>20</v>
      </c>
      <c r="I54" s="4">
        <f>plan_statystyki!I114</f>
        <v>5</v>
      </c>
      <c r="J54" s="4" t="str">
        <f>plan_statystyki!K114</f>
        <v>Z</v>
      </c>
      <c r="K54" s="4">
        <f>plan_statystyki!L114</f>
        <v>0</v>
      </c>
      <c r="L54" s="4">
        <f>plan_statystyki!Q114</f>
        <v>0</v>
      </c>
      <c r="M54" s="4">
        <f>plan_statystyki!V114</f>
        <v>20</v>
      </c>
      <c r="N54" s="4">
        <f>plan_statystyki!AA114</f>
        <v>0</v>
      </c>
      <c r="O54" s="4">
        <f>plan_statystyki!AE114</f>
        <v>0</v>
      </c>
    </row>
    <row r="55" spans="1:15" x14ac:dyDescent="0.25">
      <c r="A55" t="s">
        <v>301</v>
      </c>
      <c r="B55" s="377" t="str">
        <f>plan_statystyki!C115</f>
        <v xml:space="preserve">Język obcy dla kosmetologów/cz.3                  </v>
      </c>
      <c r="C55" s="4" t="str">
        <f>plan_statystyki!D115</f>
        <v>Studium Praktycznej Nauki Języków Obcych</v>
      </c>
      <c r="D55" s="4">
        <f>plan_statystyki!E115</f>
        <v>30</v>
      </c>
      <c r="E55" s="4">
        <f>plan_statystyki!F115</f>
        <v>1</v>
      </c>
      <c r="F55" s="382">
        <f>E55*30</f>
        <v>30</v>
      </c>
      <c r="G55" s="4">
        <f t="shared" si="12"/>
        <v>30</v>
      </c>
      <c r="H55" s="4">
        <f>plan_statystyki!G115</f>
        <v>30</v>
      </c>
      <c r="I55" s="4">
        <f>plan_statystyki!I115</f>
        <v>0</v>
      </c>
      <c r="J55" s="4" t="str">
        <f>plan_statystyki!K115</f>
        <v>Z</v>
      </c>
      <c r="K55" s="4">
        <f>plan_statystyki!L115</f>
        <v>0</v>
      </c>
      <c r="L55" s="4">
        <f>plan_statystyki!Q115</f>
        <v>0</v>
      </c>
      <c r="M55" s="4">
        <f>plan_statystyki!V115</f>
        <v>30</v>
      </c>
      <c r="N55" s="4">
        <f>plan_statystyki!AA115</f>
        <v>0</v>
      </c>
      <c r="O55" s="4">
        <f>plan_statystyki!AE115</f>
        <v>0</v>
      </c>
    </row>
    <row r="56" spans="1:15" x14ac:dyDescent="0.25">
      <c r="A56" t="s">
        <v>302</v>
      </c>
      <c r="B56" s="377" t="str">
        <f>plan_statystyki!C118</f>
        <v>Profilaktyka chorób społecznych/zdrowie publiczne</v>
      </c>
      <c r="C56" s="4" t="str">
        <f>plan_statystyki!D118</f>
        <v>Katedra Zdrowia Publicznego</v>
      </c>
      <c r="D56" s="4">
        <f>plan_statystyki!E118</f>
        <v>20</v>
      </c>
      <c r="E56" s="4">
        <f>plan_statystyki!F118</f>
        <v>2</v>
      </c>
      <c r="F56" s="382">
        <f t="shared" si="11"/>
        <v>50</v>
      </c>
      <c r="G56" s="4">
        <f t="shared" si="12"/>
        <v>20</v>
      </c>
      <c r="H56" s="4">
        <f>plan_statystyki!G118</f>
        <v>20</v>
      </c>
      <c r="I56" s="4">
        <f>plan_statystyki!I118</f>
        <v>30</v>
      </c>
      <c r="J56" s="4" t="str">
        <f>plan_statystyki!K118</f>
        <v>Z</v>
      </c>
      <c r="K56" s="4">
        <f>plan_statystyki!L118</f>
        <v>0</v>
      </c>
      <c r="L56" s="4">
        <f>plan_statystyki!Q118</f>
        <v>0</v>
      </c>
      <c r="M56" s="4">
        <f>plan_statystyki!V118</f>
        <v>20</v>
      </c>
      <c r="N56" s="4">
        <f>plan_statystyki!AA118</f>
        <v>0</v>
      </c>
      <c r="O56" s="4">
        <f>plan_statystyki!AE118</f>
        <v>0</v>
      </c>
    </row>
    <row r="57" spans="1:15" x14ac:dyDescent="0.25">
      <c r="A57" t="s">
        <v>303</v>
      </c>
      <c r="B57" s="378" t="str">
        <f>plan_statystyki!C122</f>
        <v>Fakultet interprofesjonalny "tematyka do wyboru"</v>
      </c>
      <c r="C57" s="4" t="str">
        <f>plan_statystyki!D122</f>
        <v>Zakład Kosmetologii i Medycyny Estetycznej + Farmacja Stosowana</v>
      </c>
      <c r="D57" s="4">
        <f>plan_statystyki!E122</f>
        <v>20</v>
      </c>
      <c r="E57" s="4">
        <f>plan_statystyki!F122</f>
        <v>2</v>
      </c>
      <c r="F57" s="382">
        <f t="shared" si="11"/>
        <v>50</v>
      </c>
      <c r="G57" s="4">
        <f t="shared" si="12"/>
        <v>20</v>
      </c>
      <c r="H57" s="4">
        <f>plan_statystyki!G122</f>
        <v>20</v>
      </c>
      <c r="I57" s="4">
        <f>plan_statystyki!I122</f>
        <v>30</v>
      </c>
      <c r="J57" s="4" t="str">
        <f>plan_statystyki!K122</f>
        <v>Z</v>
      </c>
      <c r="K57" s="4">
        <f>plan_statystyki!L122</f>
        <v>0</v>
      </c>
      <c r="L57" s="4">
        <f>plan_statystyki!Q122</f>
        <v>0</v>
      </c>
      <c r="M57" s="4">
        <f>plan_statystyki!V122</f>
        <v>20</v>
      </c>
      <c r="N57" s="4">
        <f>plan_statystyki!AA122</f>
        <v>0</v>
      </c>
      <c r="O57" s="4">
        <f>plan_statystyki!AE122</f>
        <v>0</v>
      </c>
    </row>
    <row r="58" spans="1:15" x14ac:dyDescent="0.25">
      <c r="A58" t="s">
        <v>303</v>
      </c>
      <c r="B58" s="378" t="str">
        <f>plan_statystyki!C123</f>
        <v>Fakultety wolne - do wyboru  2 ECTS</v>
      </c>
      <c r="C58" s="4">
        <f>plan_statystyki!D123</f>
        <v>0</v>
      </c>
      <c r="D58" s="4">
        <f>plan_statystyki!E123</f>
        <v>20</v>
      </c>
      <c r="E58" s="4">
        <f>plan_statystyki!F123</f>
        <v>2</v>
      </c>
      <c r="F58" s="382">
        <f t="shared" si="11"/>
        <v>50</v>
      </c>
      <c r="G58" s="4">
        <f t="shared" si="12"/>
        <v>20</v>
      </c>
      <c r="H58" s="4">
        <f>plan_statystyki!G123</f>
        <v>20</v>
      </c>
      <c r="I58" s="4">
        <f>plan_statystyki!I123</f>
        <v>30</v>
      </c>
      <c r="J58" s="4" t="str">
        <f>plan_statystyki!K123</f>
        <v>Z</v>
      </c>
      <c r="K58" s="4">
        <f>plan_statystyki!L123</f>
        <v>0</v>
      </c>
      <c r="L58" s="4">
        <f>plan_statystyki!Q123</f>
        <v>0</v>
      </c>
      <c r="M58" s="4">
        <f>plan_statystyki!V123</f>
        <v>20</v>
      </c>
      <c r="N58" s="4">
        <f>plan_statystyki!AA123</f>
        <v>0</v>
      </c>
      <c r="O58" s="4">
        <f>plan_statystyki!AE123</f>
        <v>0</v>
      </c>
    </row>
    <row r="59" spans="1:15" x14ac:dyDescent="0.25">
      <c r="A59" t="s">
        <v>309</v>
      </c>
      <c r="B59" s="380" t="str">
        <f>plan_statystyki!C129</f>
        <v>Praktyki zawodowe śródroczne ("do wyboru")</v>
      </c>
      <c r="C59" s="4" t="str">
        <f>plan_statystyki!D129</f>
        <v>Gabinet kosmetyczny</v>
      </c>
      <c r="D59" s="4">
        <f>plan_statystyki!E129</f>
        <v>75</v>
      </c>
      <c r="E59" s="4">
        <f>plan_statystyki!F129</f>
        <v>3</v>
      </c>
      <c r="F59" s="382">
        <f t="shared" si="11"/>
        <v>75</v>
      </c>
      <c r="G59" s="4">
        <f t="shared" si="12"/>
        <v>75</v>
      </c>
      <c r="H59" s="4">
        <f>plan_statystyki!G129</f>
        <v>5</v>
      </c>
      <c r="I59" s="4">
        <f>plan_statystyki!I129</f>
        <v>70</v>
      </c>
      <c r="J59" s="4" t="str">
        <f>plan_statystyki!K129</f>
        <v>ZO</v>
      </c>
      <c r="K59" s="4">
        <f>plan_statystyki!L129</f>
        <v>0</v>
      </c>
      <c r="L59" s="4">
        <f>plan_statystyki!Q129</f>
        <v>0</v>
      </c>
      <c r="M59" s="4">
        <f>plan_statystyki!V129</f>
        <v>0</v>
      </c>
      <c r="N59" s="4">
        <f>plan_statystyki!AA129</f>
        <v>0</v>
      </c>
      <c r="O59" s="4">
        <f>plan_statystyki!AE129</f>
        <v>75</v>
      </c>
    </row>
    <row r="60" spans="1:15" x14ac:dyDescent="0.25">
      <c r="B60" s="353" t="s">
        <v>304</v>
      </c>
      <c r="C60" s="4">
        <f>plan_statystyki!D131</f>
        <v>0</v>
      </c>
      <c r="D60" s="4">
        <f>plan_statystyki!E131</f>
        <v>435</v>
      </c>
      <c r="E60" s="5">
        <f>plan_statystyki!F131</f>
        <v>30</v>
      </c>
      <c r="F60" s="5">
        <f t="shared" si="11"/>
        <v>750</v>
      </c>
      <c r="G60" s="5">
        <f t="shared" si="12"/>
        <v>435</v>
      </c>
      <c r="H60" s="5">
        <f>plan_statystyki!G131</f>
        <v>365</v>
      </c>
      <c r="I60" s="5">
        <f>plan_statystyki!I131</f>
        <v>390</v>
      </c>
      <c r="J60" s="5"/>
      <c r="K60" s="5">
        <f>plan_statystyki!L131</f>
        <v>50</v>
      </c>
      <c r="L60" s="5">
        <f>plan_statystyki!Q131</f>
        <v>105</v>
      </c>
      <c r="M60" s="5">
        <f>plan_statystyki!V131</f>
        <v>205</v>
      </c>
      <c r="N60" s="5">
        <f>plan_statystyki!AA131</f>
        <v>0</v>
      </c>
      <c r="O60" s="5">
        <f>plan_statystyki!AE131</f>
        <v>75</v>
      </c>
    </row>
    <row r="61" spans="1:15" x14ac:dyDescent="0.25">
      <c r="B61" s="353" t="s">
        <v>305</v>
      </c>
      <c r="C61" s="4"/>
      <c r="D61" s="4"/>
      <c r="E61" s="4"/>
      <c r="F61" s="4"/>
      <c r="G61" s="4"/>
      <c r="H61" s="4"/>
      <c r="I61" s="3" t="s">
        <v>306</v>
      </c>
      <c r="J61" s="382"/>
      <c r="K61" s="3" t="s">
        <v>289</v>
      </c>
      <c r="L61" s="3" t="s">
        <v>298</v>
      </c>
      <c r="M61" s="3" t="s">
        <v>291</v>
      </c>
      <c r="N61" s="3" t="s">
        <v>307</v>
      </c>
      <c r="O61" s="381" t="s">
        <v>308</v>
      </c>
    </row>
    <row r="62" spans="1:15" x14ac:dyDescent="0.25">
      <c r="B62" s="353"/>
      <c r="C62" s="4"/>
      <c r="D62" s="4"/>
      <c r="E62" s="4"/>
      <c r="F62" s="4"/>
      <c r="G62" s="4"/>
      <c r="H62" s="4"/>
      <c r="I62" s="384">
        <f>I60/F60*100</f>
        <v>52</v>
      </c>
      <c r="J62" s="382"/>
      <c r="K62" s="384">
        <f>K60/$G$60*100</f>
        <v>11.494252873563218</v>
      </c>
      <c r="L62" s="384">
        <f>L60/$G$60*100</f>
        <v>24.137931034482758</v>
      </c>
      <c r="M62" s="384">
        <f t="shared" ref="M62:N62" si="13">M60/$G$60*100</f>
        <v>47.126436781609193</v>
      </c>
      <c r="N62" s="384">
        <f t="shared" si="13"/>
        <v>0</v>
      </c>
      <c r="O62" s="384">
        <f>O60/$G$60*100</f>
        <v>17.241379310344829</v>
      </c>
    </row>
    <row r="63" spans="1:15" x14ac:dyDescent="0.25">
      <c r="B63" s="563" t="str">
        <f>plan_statystyki!G134</f>
        <v>SEMESTR V</v>
      </c>
      <c r="C63" s="563"/>
      <c r="D63" s="563"/>
      <c r="E63" s="563"/>
      <c r="F63" s="563"/>
      <c r="G63" s="563"/>
      <c r="H63" s="563"/>
      <c r="I63" s="563"/>
      <c r="J63" s="563"/>
      <c r="K63" s="563"/>
      <c r="L63" s="563"/>
      <c r="M63" s="563"/>
      <c r="N63" s="563"/>
      <c r="O63" s="563"/>
    </row>
    <row r="64" spans="1:15" x14ac:dyDescent="0.25">
      <c r="A64" t="s">
        <v>296</v>
      </c>
      <c r="B64" s="375" t="str">
        <f>plan_statystyki!C139</f>
        <v>Farmakologia</v>
      </c>
      <c r="C64" s="4" t="str">
        <f>plan_statystyki!D139</f>
        <v>Katedra i Zakład Farmakologii z Farmakodynamiką</v>
      </c>
      <c r="D64" s="4">
        <f>plan_statystyki!E139</f>
        <v>45</v>
      </c>
      <c r="E64" s="4">
        <f>plan_statystyki!F139</f>
        <v>4</v>
      </c>
      <c r="F64" s="382">
        <f t="shared" ref="F64:F74" si="14">E64*25</f>
        <v>100</v>
      </c>
      <c r="G64" s="4">
        <f t="shared" ref="G64:G74" si="15">D64</f>
        <v>45</v>
      </c>
      <c r="H64" s="4">
        <f>plan_statystyki!G139</f>
        <v>45</v>
      </c>
      <c r="I64" s="4">
        <f>plan_statystyki!I139</f>
        <v>55</v>
      </c>
      <c r="J64" s="4" t="str">
        <f>plan_statystyki!K139</f>
        <v>E</v>
      </c>
      <c r="K64" s="4">
        <f>plan_statystyki!L139</f>
        <v>15</v>
      </c>
      <c r="L64" s="4">
        <f>plan_statystyki!Q139</f>
        <v>0</v>
      </c>
      <c r="M64" s="4">
        <f>plan_statystyki!V139</f>
        <v>30</v>
      </c>
      <c r="N64" s="4">
        <f>plan_statystyki!AA139</f>
        <v>0</v>
      </c>
      <c r="O64" s="4">
        <f>plan_statystyki!AE139</f>
        <v>0</v>
      </c>
    </row>
    <row r="65" spans="1:15" x14ac:dyDescent="0.25">
      <c r="A65" s="7" t="s">
        <v>299</v>
      </c>
      <c r="B65" s="376" t="str">
        <f>plan_statystyki!C142</f>
        <v>Estetyka</v>
      </c>
      <c r="C65" s="4" t="str">
        <f>plan_statystyki!D142</f>
        <v xml:space="preserve">Katedra i Zakład Psychologii UM  </v>
      </c>
      <c r="D65" s="4">
        <f>plan_statystyki!E142</f>
        <v>30</v>
      </c>
      <c r="E65" s="4">
        <f>plan_statystyki!F142</f>
        <v>2</v>
      </c>
      <c r="F65" s="382">
        <f t="shared" si="14"/>
        <v>50</v>
      </c>
      <c r="G65" s="4">
        <f t="shared" si="15"/>
        <v>30</v>
      </c>
      <c r="H65" s="4">
        <f>plan_statystyki!G142</f>
        <v>30</v>
      </c>
      <c r="I65" s="4">
        <f>plan_statystyki!I142</f>
        <v>20</v>
      </c>
      <c r="J65" s="4" t="str">
        <f>plan_statystyki!K142</f>
        <v>ZO</v>
      </c>
      <c r="K65" s="4">
        <f>plan_statystyki!L142</f>
        <v>10</v>
      </c>
      <c r="L65" s="4">
        <f>plan_statystyki!Q142</f>
        <v>0</v>
      </c>
      <c r="M65" s="4">
        <f>plan_statystyki!V142</f>
        <v>20</v>
      </c>
      <c r="N65" s="4">
        <f>plan_statystyki!AA142</f>
        <v>0</v>
      </c>
      <c r="O65" s="4">
        <f>plan_statystyki!AE142</f>
        <v>0</v>
      </c>
    </row>
    <row r="66" spans="1:15" x14ac:dyDescent="0.25">
      <c r="A66" s="7" t="s">
        <v>299</v>
      </c>
      <c r="B66" s="376" t="str">
        <f>plan_statystyki!C143</f>
        <v>Receptura kosmetyczna II</v>
      </c>
      <c r="C66" s="4" t="str">
        <f>plan_statystyki!D143</f>
        <v>Katedra i Zakład Syntezy i Technologii Środków Leczniczych</v>
      </c>
      <c r="D66" s="4">
        <f>plan_statystyki!E143</f>
        <v>30</v>
      </c>
      <c r="E66" s="4">
        <f>plan_statystyki!F143</f>
        <v>3</v>
      </c>
      <c r="F66" s="382">
        <f t="shared" si="14"/>
        <v>75</v>
      </c>
      <c r="G66" s="4">
        <f t="shared" si="15"/>
        <v>30</v>
      </c>
      <c r="H66" s="4">
        <f>plan_statystyki!G143</f>
        <v>30</v>
      </c>
      <c r="I66" s="4">
        <f>plan_statystyki!I143</f>
        <v>45</v>
      </c>
      <c r="J66" s="4" t="str">
        <f>plan_statystyki!K143</f>
        <v>ZO</v>
      </c>
      <c r="K66" s="4">
        <f>plan_statystyki!L143</f>
        <v>10</v>
      </c>
      <c r="L66" s="4">
        <f>plan_statystyki!Q143</f>
        <v>15</v>
      </c>
      <c r="M66" s="4">
        <f>plan_statystyki!V143</f>
        <v>5</v>
      </c>
      <c r="N66" s="4">
        <f>plan_statystyki!AA143</f>
        <v>0</v>
      </c>
      <c r="O66" s="4">
        <f>plan_statystyki!AE143</f>
        <v>0</v>
      </c>
    </row>
    <row r="67" spans="1:15" x14ac:dyDescent="0.25">
      <c r="A67" t="s">
        <v>300</v>
      </c>
      <c r="B67" s="377" t="str">
        <f>plan_statystyki!C146</f>
        <v>Współczesne metody analizy instrumentalnej kosmetyków</v>
      </c>
      <c r="C67" s="4" t="str">
        <f>plan_statystyki!D146</f>
        <v>Zakład Chemii Analitycznej Katedry Chemii</v>
      </c>
      <c r="D67" s="4">
        <f>plan_statystyki!E146</f>
        <v>20</v>
      </c>
      <c r="E67" s="4">
        <f>plan_statystyki!F146</f>
        <v>2</v>
      </c>
      <c r="F67" s="382">
        <f t="shared" si="14"/>
        <v>50</v>
      </c>
      <c r="G67" s="4">
        <f t="shared" si="15"/>
        <v>20</v>
      </c>
      <c r="H67" s="4">
        <f>plan_statystyki!G146</f>
        <v>20</v>
      </c>
      <c r="I67" s="4">
        <f>plan_statystyki!I146</f>
        <v>30</v>
      </c>
      <c r="J67" s="4" t="str">
        <f>plan_statystyki!K146</f>
        <v>ZO</v>
      </c>
      <c r="K67" s="4">
        <f>plan_statystyki!L146</f>
        <v>0</v>
      </c>
      <c r="L67" s="4">
        <f>plan_statystyki!Q146</f>
        <v>15</v>
      </c>
      <c r="M67" s="4">
        <f>plan_statystyki!V146</f>
        <v>5</v>
      </c>
      <c r="N67" s="4">
        <f>plan_statystyki!AA146</f>
        <v>0</v>
      </c>
      <c r="O67" s="4">
        <f>plan_statystyki!AE146</f>
        <v>0</v>
      </c>
    </row>
    <row r="68" spans="1:15" x14ac:dyDescent="0.25">
      <c r="A68" t="s">
        <v>300</v>
      </c>
      <c r="B68" s="377" t="str">
        <f>plan_statystyki!C147</f>
        <v>Kosmetyka anti-aging/Kosmetologia specjalistyczna</v>
      </c>
      <c r="C68" s="4" t="str">
        <f>plan_statystyki!D147</f>
        <v>Zakład Kosmetologii i Medycyny Estetycznej</v>
      </c>
      <c r="D68" s="4">
        <f>plan_statystyki!E147</f>
        <v>80</v>
      </c>
      <c r="E68" s="4">
        <f>plan_statystyki!F147</f>
        <v>5</v>
      </c>
      <c r="F68" s="382">
        <f t="shared" si="14"/>
        <v>125</v>
      </c>
      <c r="G68" s="4">
        <f t="shared" si="15"/>
        <v>80</v>
      </c>
      <c r="H68" s="4">
        <f>plan_statystyki!G147</f>
        <v>80</v>
      </c>
      <c r="I68" s="4">
        <f>plan_statystyki!I147</f>
        <v>45</v>
      </c>
      <c r="J68" s="4" t="str">
        <f>plan_statystyki!K147</f>
        <v>E</v>
      </c>
      <c r="K68" s="4">
        <f>plan_statystyki!L147</f>
        <v>0</v>
      </c>
      <c r="L68" s="4">
        <f>plan_statystyki!Q147</f>
        <v>50</v>
      </c>
      <c r="M68" s="4">
        <f>plan_statystyki!V147</f>
        <v>30</v>
      </c>
      <c r="N68" s="4">
        <f>plan_statystyki!AA147</f>
        <v>0</v>
      </c>
      <c r="O68" s="4">
        <f>plan_statystyki!AE147</f>
        <v>0</v>
      </c>
    </row>
    <row r="69" spans="1:15" x14ac:dyDescent="0.25">
      <c r="A69" t="s">
        <v>301</v>
      </c>
      <c r="B69" s="377" t="str">
        <f>plan_statystyki!C148</f>
        <v xml:space="preserve">Język obcy dla kosmetologów/cz.4-full                </v>
      </c>
      <c r="C69" s="4" t="str">
        <f>plan_statystyki!D148</f>
        <v>Studium Praktycznej Nauki Języków Obcych</v>
      </c>
      <c r="D69" s="4">
        <f>plan_statystyki!E148</f>
        <v>30</v>
      </c>
      <c r="E69" s="4">
        <f>plan_statystyki!F148</f>
        <v>1</v>
      </c>
      <c r="F69" s="382">
        <f>E69*30</f>
        <v>30</v>
      </c>
      <c r="G69" s="4">
        <f t="shared" si="15"/>
        <v>30</v>
      </c>
      <c r="H69" s="4">
        <f>plan_statystyki!G148</f>
        <v>30</v>
      </c>
      <c r="I69" s="4">
        <f>plan_statystyki!I148</f>
        <v>0</v>
      </c>
      <c r="J69" s="4" t="str">
        <f>plan_statystyki!K148</f>
        <v>E</v>
      </c>
      <c r="K69" s="4">
        <f>plan_statystyki!L148</f>
        <v>0</v>
      </c>
      <c r="L69" s="4">
        <f>plan_statystyki!Q148</f>
        <v>0</v>
      </c>
      <c r="M69" s="4">
        <f>plan_statystyki!V148</f>
        <v>30</v>
      </c>
      <c r="N69" s="4">
        <f>plan_statystyki!AA148</f>
        <v>0</v>
      </c>
      <c r="O69" s="4">
        <f>plan_statystyki!AE148</f>
        <v>0</v>
      </c>
    </row>
    <row r="70" spans="1:15" x14ac:dyDescent="0.25">
      <c r="A70" t="s">
        <v>302</v>
      </c>
      <c r="B70" s="377" t="str">
        <f>plan_statystyki!C151</f>
        <v>Ochrona własności intelektualnej</v>
      </c>
      <c r="C70" s="4" t="str">
        <f>plan_statystyki!D151</f>
        <v>Katedra i Zakład Farmacji Stosowanej i Społecznej</v>
      </c>
      <c r="D70" s="4">
        <f>plan_statystyki!E151</f>
        <v>20</v>
      </c>
      <c r="E70" s="4">
        <f>plan_statystyki!F151</f>
        <v>1</v>
      </c>
      <c r="F70" s="382">
        <f t="shared" ref="F70" si="16">E70*25</f>
        <v>25</v>
      </c>
      <c r="G70" s="4">
        <f t="shared" ref="G70" si="17">D70</f>
        <v>20</v>
      </c>
      <c r="H70" s="4">
        <f>plan_statystyki!G151</f>
        <v>20</v>
      </c>
      <c r="I70" s="4">
        <f>plan_statystyki!I151</f>
        <v>5</v>
      </c>
      <c r="J70" s="4" t="str">
        <f>plan_statystyki!K151</f>
        <v>ZO</v>
      </c>
      <c r="K70" s="4">
        <f>plan_statystyki!L151</f>
        <v>0</v>
      </c>
      <c r="L70" s="4">
        <f>plan_statystyki!Q151</f>
        <v>0</v>
      </c>
      <c r="M70" s="4">
        <f>plan_statystyki!V151</f>
        <v>20</v>
      </c>
      <c r="N70" s="4">
        <f>plan_statystyki!AA151</f>
        <v>0</v>
      </c>
      <c r="O70" s="4">
        <f>plan_statystyki!AE151</f>
        <v>0</v>
      </c>
    </row>
    <row r="71" spans="1:15" x14ac:dyDescent="0.25">
      <c r="A71" t="s">
        <v>302</v>
      </c>
      <c r="B71" s="377" t="str">
        <f>plan_statystyki!C152</f>
        <v>Etyka i komunikacja zawodowa</v>
      </c>
      <c r="C71" s="4" t="str">
        <f>plan_statystyki!D152</f>
        <v>Katedra i Zaklad Nauk Humanistycznych i Medycyny Społecznej</v>
      </c>
      <c r="D71" s="4">
        <f>plan_statystyki!E152</f>
        <v>20</v>
      </c>
      <c r="E71" s="4">
        <f>plan_statystyki!F152</f>
        <v>1</v>
      </c>
      <c r="F71" s="382">
        <f t="shared" si="14"/>
        <v>25</v>
      </c>
      <c r="G71" s="4">
        <f t="shared" si="15"/>
        <v>20</v>
      </c>
      <c r="H71" s="4">
        <f>plan_statystyki!G152</f>
        <v>20</v>
      </c>
      <c r="I71" s="4">
        <f>plan_statystyki!I152</f>
        <v>5</v>
      </c>
      <c r="J71" s="4" t="str">
        <f>plan_statystyki!K152</f>
        <v>ZO</v>
      </c>
      <c r="K71" s="4">
        <f>plan_statystyki!L152</f>
        <v>20</v>
      </c>
      <c r="L71" s="4">
        <f>plan_statystyki!Q152</f>
        <v>0</v>
      </c>
      <c r="M71" s="4">
        <f>plan_statystyki!V152</f>
        <v>0</v>
      </c>
      <c r="N71" s="4">
        <f>plan_statystyki!AA152</f>
        <v>0</v>
      </c>
      <c r="O71" s="4">
        <f>plan_statystyki!AE152</f>
        <v>0</v>
      </c>
    </row>
    <row r="72" spans="1:15" x14ac:dyDescent="0.25">
      <c r="A72" t="s">
        <v>303</v>
      </c>
      <c r="B72" s="378" t="str">
        <f>plan_statystyki!C154</f>
        <v>Fakultety wolne - do wyboru 6 ECTS</v>
      </c>
      <c r="C72" s="4">
        <f>plan_statystyki!D154</f>
        <v>0</v>
      </c>
      <c r="D72" s="4">
        <f>plan_statystyki!E154</f>
        <v>60</v>
      </c>
      <c r="E72" s="4">
        <f>plan_statystyki!F154</f>
        <v>6</v>
      </c>
      <c r="F72" s="382">
        <f t="shared" si="14"/>
        <v>150</v>
      </c>
      <c r="G72" s="4">
        <f t="shared" si="15"/>
        <v>60</v>
      </c>
      <c r="H72" s="4">
        <f>plan_statystyki!G154</f>
        <v>60</v>
      </c>
      <c r="I72" s="4">
        <f>plan_statystyki!I154</f>
        <v>90</v>
      </c>
      <c r="J72" s="4" t="str">
        <f>plan_statystyki!K154</f>
        <v>Z</v>
      </c>
      <c r="K72" s="4">
        <f>plan_statystyki!L154</f>
        <v>0</v>
      </c>
      <c r="L72" s="4">
        <f>plan_statystyki!Q154</f>
        <v>0</v>
      </c>
      <c r="M72" s="4">
        <f>plan_statystyki!V154</f>
        <v>60</v>
      </c>
      <c r="N72" s="4">
        <f>plan_statystyki!AA154</f>
        <v>0</v>
      </c>
      <c r="O72" s="4">
        <f>plan_statystyki!AE154</f>
        <v>0</v>
      </c>
    </row>
    <row r="73" spans="1:15" x14ac:dyDescent="0.25">
      <c r="A73" t="s">
        <v>286</v>
      </c>
      <c r="B73" s="380" t="str">
        <f>plan_statystyki!C161</f>
        <v xml:space="preserve">Warsztaty praktyczne ("do wyboru") </v>
      </c>
      <c r="C73" s="4" t="str">
        <f>plan_statystyki!D161</f>
        <v>Zakład Kosmetologii i Medycyny Estetycznej</v>
      </c>
      <c r="D73" s="4">
        <f>plan_statystyki!E161</f>
        <v>100</v>
      </c>
      <c r="E73" s="4">
        <f>plan_statystyki!F161</f>
        <v>5</v>
      </c>
      <c r="F73" s="382">
        <f t="shared" si="14"/>
        <v>125</v>
      </c>
      <c r="G73" s="4">
        <f t="shared" si="15"/>
        <v>100</v>
      </c>
      <c r="H73" s="4">
        <f>plan_statystyki!G161</f>
        <v>100</v>
      </c>
      <c r="I73" s="4">
        <f>plan_statystyki!I161</f>
        <v>25</v>
      </c>
      <c r="J73" s="4" t="str">
        <f>plan_statystyki!K161</f>
        <v>Z</v>
      </c>
      <c r="K73" s="4">
        <f>plan_statystyki!L161</f>
        <v>0</v>
      </c>
      <c r="L73" s="4">
        <f>plan_statystyki!Q161</f>
        <v>0</v>
      </c>
      <c r="M73" s="4">
        <f>plan_statystyki!V161</f>
        <v>0</v>
      </c>
      <c r="N73" s="4">
        <f>plan_statystyki!AA161</f>
        <v>100</v>
      </c>
      <c r="O73" s="4">
        <f>plan_statystyki!AE161</f>
        <v>0</v>
      </c>
    </row>
    <row r="74" spans="1:15" x14ac:dyDescent="0.25">
      <c r="B74" s="353" t="s">
        <v>304</v>
      </c>
      <c r="C74" s="4">
        <f>plan_statystyki!D164</f>
        <v>0</v>
      </c>
      <c r="D74" s="4">
        <f>plan_statystyki!E164</f>
        <v>435</v>
      </c>
      <c r="E74" s="5">
        <f>plan_statystyki!F164</f>
        <v>30</v>
      </c>
      <c r="F74" s="5">
        <f t="shared" si="14"/>
        <v>750</v>
      </c>
      <c r="G74" s="5">
        <f t="shared" si="15"/>
        <v>435</v>
      </c>
      <c r="H74" s="5">
        <f>plan_statystyki!G164</f>
        <v>435</v>
      </c>
      <c r="I74" s="5">
        <f>plan_statystyki!I164</f>
        <v>320</v>
      </c>
      <c r="J74" s="5"/>
      <c r="K74" s="5">
        <f>plan_statystyki!L164</f>
        <v>55</v>
      </c>
      <c r="L74" s="5">
        <f>plan_statystyki!Q164</f>
        <v>80</v>
      </c>
      <c r="M74" s="5">
        <f>plan_statystyki!V164</f>
        <v>200</v>
      </c>
      <c r="N74" s="5">
        <f>plan_statystyki!AA164</f>
        <v>100</v>
      </c>
      <c r="O74" s="5">
        <f>plan_statystyki!AE164</f>
        <v>0</v>
      </c>
    </row>
    <row r="75" spans="1:15" x14ac:dyDescent="0.25">
      <c r="B75" s="353" t="s">
        <v>305</v>
      </c>
      <c r="C75" s="4"/>
      <c r="D75" s="4"/>
      <c r="E75" s="4"/>
      <c r="F75" s="4"/>
      <c r="G75" s="4"/>
      <c r="H75" s="4"/>
      <c r="I75" s="3" t="s">
        <v>306</v>
      </c>
      <c r="J75" s="382"/>
      <c r="K75" s="3" t="s">
        <v>289</v>
      </c>
      <c r="L75" s="3" t="s">
        <v>298</v>
      </c>
      <c r="M75" s="3" t="s">
        <v>291</v>
      </c>
      <c r="N75" s="3" t="s">
        <v>307</v>
      </c>
      <c r="O75" s="381" t="s">
        <v>308</v>
      </c>
    </row>
    <row r="76" spans="1:15" x14ac:dyDescent="0.25">
      <c r="B76" s="353"/>
      <c r="C76" s="4"/>
      <c r="D76" s="4"/>
      <c r="E76" s="4"/>
      <c r="F76" s="4"/>
      <c r="G76" s="4"/>
      <c r="H76" s="4"/>
      <c r="I76" s="384">
        <f>I74/F74*100</f>
        <v>42.666666666666671</v>
      </c>
      <c r="J76" s="382"/>
      <c r="K76" s="384">
        <f>K74/$G$74*100</f>
        <v>12.643678160919542</v>
      </c>
      <c r="L76" s="384">
        <f t="shared" ref="L76:O76" si="18">L74/$G$74*100</f>
        <v>18.390804597701148</v>
      </c>
      <c r="M76" s="384">
        <f t="shared" si="18"/>
        <v>45.977011494252871</v>
      </c>
      <c r="N76" s="384">
        <f t="shared" si="18"/>
        <v>22.988505747126435</v>
      </c>
      <c r="O76" s="384">
        <f t="shared" si="18"/>
        <v>0</v>
      </c>
    </row>
    <row r="77" spans="1:15" x14ac:dyDescent="0.25">
      <c r="B77" s="563" t="str">
        <f>plan_statystyki!G167</f>
        <v>SEMESTR VI</v>
      </c>
      <c r="C77" s="563"/>
      <c r="D77" s="563"/>
      <c r="E77" s="563"/>
      <c r="F77" s="563"/>
      <c r="G77" s="563"/>
      <c r="H77" s="563"/>
      <c r="I77" s="563"/>
      <c r="J77" s="563"/>
      <c r="K77" s="563"/>
      <c r="L77" s="563"/>
      <c r="M77" s="563"/>
      <c r="N77" s="563"/>
      <c r="O77" s="563"/>
    </row>
    <row r="78" spans="1:15" x14ac:dyDescent="0.25">
      <c r="A78" s="7" t="s">
        <v>299</v>
      </c>
      <c r="B78" s="376" t="str">
        <f>plan_statystyki!C172</f>
        <v>Fizjoterapia i masaż</v>
      </c>
      <c r="C78" s="4" t="str">
        <f>plan_statystyki!D172</f>
        <v>Katedra Rehabilitacji, Fizjoterapii i Balneologii</v>
      </c>
      <c r="D78" s="4">
        <f>plan_statystyki!E172</f>
        <v>50</v>
      </c>
      <c r="E78" s="4">
        <f>plan_statystyki!F172</f>
        <v>4</v>
      </c>
      <c r="F78" s="382">
        <f t="shared" ref="F78:F90" si="19">E78*25</f>
        <v>100</v>
      </c>
      <c r="G78" s="4">
        <f t="shared" ref="G78:G90" si="20">D78</f>
        <v>50</v>
      </c>
      <c r="H78" s="4">
        <f>plan_statystyki!G172</f>
        <v>50</v>
      </c>
      <c r="I78" s="4">
        <f>plan_statystyki!I172</f>
        <v>50</v>
      </c>
      <c r="J78" s="4" t="str">
        <f>plan_statystyki!K172</f>
        <v>E</v>
      </c>
      <c r="K78" s="4">
        <f>plan_statystyki!L172</f>
        <v>15</v>
      </c>
      <c r="L78" s="4">
        <f>plan_statystyki!Q172</f>
        <v>30</v>
      </c>
      <c r="M78" s="4">
        <f>plan_statystyki!V172</f>
        <v>5</v>
      </c>
      <c r="N78" s="4">
        <f>plan_statystyki!AA172</f>
        <v>0</v>
      </c>
      <c r="O78" s="4">
        <f>plan_statystyki!AE172</f>
        <v>0</v>
      </c>
    </row>
    <row r="79" spans="1:15" x14ac:dyDescent="0.25">
      <c r="A79" t="s">
        <v>300</v>
      </c>
      <c r="B79" s="377" t="str">
        <f>plan_statystyki!C175</f>
        <v>Podstawy toksykologii</v>
      </c>
      <c r="C79" s="4" t="str">
        <f>plan_statystyki!D175</f>
        <v>Katedra i Zakład Toksykologii</v>
      </c>
      <c r="D79" s="4">
        <f>plan_statystyki!E175</f>
        <v>30</v>
      </c>
      <c r="E79" s="4">
        <f>plan_statystyki!F175</f>
        <v>2</v>
      </c>
      <c r="F79" s="382">
        <f t="shared" si="19"/>
        <v>50</v>
      </c>
      <c r="G79" s="4">
        <f t="shared" si="20"/>
        <v>30</v>
      </c>
      <c r="H79" s="4">
        <f>plan_statystyki!G175</f>
        <v>30</v>
      </c>
      <c r="I79" s="4">
        <f>plan_statystyki!I175</f>
        <v>20</v>
      </c>
      <c r="J79" s="4" t="str">
        <f>plan_statystyki!K175</f>
        <v>ZO</v>
      </c>
      <c r="K79" s="4">
        <f>plan_statystyki!L175</f>
        <v>10</v>
      </c>
      <c r="L79" s="4">
        <f>plan_statystyki!Q175</f>
        <v>10</v>
      </c>
      <c r="M79" s="4">
        <f>plan_statystyki!V175</f>
        <v>10</v>
      </c>
      <c r="N79" s="4">
        <f>plan_statystyki!AA175</f>
        <v>0</v>
      </c>
      <c r="O79" s="4">
        <f>plan_statystyki!AE175</f>
        <v>0</v>
      </c>
    </row>
    <row r="80" spans="1:15" x14ac:dyDescent="0.25">
      <c r="A80" t="s">
        <v>300</v>
      </c>
      <c r="B80" s="377" t="str">
        <f>plan_statystyki!C177</f>
        <v>Diagnostyka laboratoryjna</v>
      </c>
      <c r="C80" s="4" t="str">
        <f>plan_statystyki!D177</f>
        <v>Zakład Diagnostyki Laboratoryjnej</v>
      </c>
      <c r="D80" s="4">
        <f>plan_statystyki!E177</f>
        <v>30</v>
      </c>
      <c r="E80" s="4">
        <f>plan_statystyki!F177</f>
        <v>2</v>
      </c>
      <c r="F80" s="382">
        <f t="shared" si="19"/>
        <v>50</v>
      </c>
      <c r="G80" s="4">
        <f t="shared" si="20"/>
        <v>30</v>
      </c>
      <c r="H80" s="4">
        <f>plan_statystyki!G177</f>
        <v>30</v>
      </c>
      <c r="I80" s="4">
        <f>plan_statystyki!I177</f>
        <v>20</v>
      </c>
      <c r="J80" s="4" t="str">
        <f>plan_statystyki!K177</f>
        <v>ZO</v>
      </c>
      <c r="K80" s="4">
        <f>plan_statystyki!L177</f>
        <v>15</v>
      </c>
      <c r="L80" s="4">
        <f>plan_statystyki!Q177</f>
        <v>0</v>
      </c>
      <c r="M80" s="4">
        <f>plan_statystyki!V177</f>
        <v>15</v>
      </c>
      <c r="N80" s="4">
        <f>plan_statystyki!AA177</f>
        <v>0</v>
      </c>
      <c r="O80" s="4">
        <f>plan_statystyki!AE177</f>
        <v>0</v>
      </c>
    </row>
    <row r="81" spans="1:15" x14ac:dyDescent="0.25">
      <c r="A81" t="s">
        <v>301</v>
      </c>
      <c r="B81" s="377" t="str">
        <f>plan_statystyki!C178</f>
        <v>Warsztaty grupowego poradnictwa zawodowego i aktywizacji zawodowej</v>
      </c>
      <c r="C81" s="4" t="str">
        <f>plan_statystyki!D178</f>
        <v>Biuro Karier UML</v>
      </c>
      <c r="D81" s="4">
        <f>plan_statystyki!E178</f>
        <v>2</v>
      </c>
      <c r="E81" s="4">
        <f>plan_statystyki!F178</f>
        <v>0</v>
      </c>
      <c r="F81" s="382">
        <f t="shared" si="19"/>
        <v>0</v>
      </c>
      <c r="G81" s="4">
        <f t="shared" si="20"/>
        <v>2</v>
      </c>
      <c r="H81" s="4">
        <f>plan_statystyki!G178</f>
        <v>2</v>
      </c>
      <c r="I81" s="4">
        <f>plan_statystyki!I178</f>
        <v>0</v>
      </c>
      <c r="J81" s="4" t="str">
        <f>plan_statystyki!K178</f>
        <v>Z</v>
      </c>
      <c r="K81" s="4">
        <f>plan_statystyki!L178</f>
        <v>0</v>
      </c>
      <c r="L81" s="4">
        <f>plan_statystyki!Q178</f>
        <v>0</v>
      </c>
      <c r="M81" s="4">
        <f>plan_statystyki!V178</f>
        <v>2</v>
      </c>
      <c r="N81" s="4">
        <f>plan_statystyki!AA178</f>
        <v>0</v>
      </c>
      <c r="O81" s="4">
        <f>plan_statystyki!AE178</f>
        <v>0</v>
      </c>
    </row>
    <row r="82" spans="1:15" x14ac:dyDescent="0.25">
      <c r="A82" t="s">
        <v>300</v>
      </c>
      <c r="B82" s="377" t="str">
        <f>plan_statystyki!C179</f>
        <v>Podstawy ratownictwa medycznego</v>
      </c>
      <c r="C82" s="4" t="str">
        <f>plan_statystyki!D179</f>
        <v xml:space="preserve">Samodzielna Pracownia Medycznych Czynności Ratunkowych i Ratownictwa Specjalistycznego </v>
      </c>
      <c r="D82" s="4">
        <f>plan_statystyki!E179</f>
        <v>0</v>
      </c>
      <c r="E82" s="4">
        <f>plan_statystyki!F179</f>
        <v>0</v>
      </c>
      <c r="F82" s="382">
        <f t="shared" si="19"/>
        <v>0</v>
      </c>
      <c r="G82" s="4">
        <f t="shared" si="20"/>
        <v>0</v>
      </c>
      <c r="H82" s="4">
        <f>plan_statystyki!G179</f>
        <v>0</v>
      </c>
      <c r="I82" s="4">
        <f>plan_statystyki!I179</f>
        <v>0</v>
      </c>
      <c r="J82" s="4" t="str">
        <f>plan_statystyki!K179</f>
        <v>Z</v>
      </c>
      <c r="K82" s="4">
        <f>plan_statystyki!L179</f>
        <v>0</v>
      </c>
      <c r="L82" s="4">
        <f>plan_statystyki!Q179</f>
        <v>0</v>
      </c>
      <c r="M82" s="4">
        <f>plan_statystyki!V179</f>
        <v>0</v>
      </c>
      <c r="N82" s="4">
        <f>plan_statystyki!AA179</f>
        <v>0</v>
      </c>
      <c r="O82" s="4">
        <f>plan_statystyki!AE179</f>
        <v>0</v>
      </c>
    </row>
    <row r="83" spans="1:15" x14ac:dyDescent="0.25">
      <c r="A83" t="s">
        <v>300</v>
      </c>
      <c r="B83" s="377" t="str">
        <f>plan_statystyki!C180</f>
        <v>Opieka kosmetologiczna nad osobami po zabiegach medycznych</v>
      </c>
      <c r="C83" s="4" t="str">
        <f>plan_statystyki!D180</f>
        <v>Zakład Kosmetologii i Medycyny Estetycznej</v>
      </c>
      <c r="D83" s="4">
        <f>plan_statystyki!E180</f>
        <v>10</v>
      </c>
      <c r="E83" s="4">
        <f>plan_statystyki!F180</f>
        <v>1</v>
      </c>
      <c r="F83" s="382">
        <f t="shared" si="19"/>
        <v>25</v>
      </c>
      <c r="G83" s="4">
        <f t="shared" si="20"/>
        <v>10</v>
      </c>
      <c r="H83" s="4">
        <f>plan_statystyki!G180</f>
        <v>10</v>
      </c>
      <c r="I83" s="4">
        <f>plan_statystyki!I180</f>
        <v>15</v>
      </c>
      <c r="J83" s="4" t="str">
        <f>plan_statystyki!K180</f>
        <v>ZO</v>
      </c>
      <c r="K83" s="4">
        <f>plan_statystyki!L180</f>
        <v>0</v>
      </c>
      <c r="L83" s="4">
        <f>plan_statystyki!Q180</f>
        <v>0</v>
      </c>
      <c r="M83" s="4">
        <f>plan_statystyki!V180</f>
        <v>10</v>
      </c>
      <c r="N83" s="4">
        <f>plan_statystyki!AA180</f>
        <v>0</v>
      </c>
      <c r="O83" s="4">
        <f>plan_statystyki!AE180</f>
        <v>0</v>
      </c>
    </row>
    <row r="84" spans="1:15" x14ac:dyDescent="0.25">
      <c r="A84" t="s">
        <v>300</v>
      </c>
      <c r="B84" s="377" t="str">
        <f>plan_statystyki!C181</f>
        <v>Mikropigmentacja medyczna w aspekcie opieki kosmetologicznej</v>
      </c>
      <c r="C84" s="4" t="str">
        <f>plan_statystyki!D181</f>
        <v>Zakład Kosmetologii i Medycyny Estetycznej</v>
      </c>
      <c r="D84" s="4">
        <f>plan_statystyki!E181</f>
        <v>20</v>
      </c>
      <c r="E84" s="4">
        <f>plan_statystyki!F181</f>
        <v>1</v>
      </c>
      <c r="F84" s="382">
        <f t="shared" si="19"/>
        <v>25</v>
      </c>
      <c r="G84" s="4">
        <f t="shared" si="20"/>
        <v>20</v>
      </c>
      <c r="H84" s="4">
        <f>plan_statystyki!G181</f>
        <v>20</v>
      </c>
      <c r="I84" s="4">
        <f>plan_statystyki!I181</f>
        <v>5</v>
      </c>
      <c r="J84" s="4" t="str">
        <f>plan_statystyki!K181</f>
        <v>ZO</v>
      </c>
      <c r="K84" s="4">
        <f>plan_statystyki!L181</f>
        <v>0</v>
      </c>
      <c r="L84" s="4">
        <f>plan_statystyki!Q181</f>
        <v>10</v>
      </c>
      <c r="M84" s="4">
        <f>plan_statystyki!V181</f>
        <v>10</v>
      </c>
      <c r="N84" s="4">
        <f>plan_statystyki!AA181</f>
        <v>0</v>
      </c>
      <c r="O84" s="4">
        <f>plan_statystyki!AE181</f>
        <v>0</v>
      </c>
    </row>
    <row r="85" spans="1:15" x14ac:dyDescent="0.25">
      <c r="A85" t="s">
        <v>303</v>
      </c>
      <c r="B85" s="378" t="str">
        <f>plan_statystyki!C188</f>
        <v>Fakultety wolne - do wyboru 4 ECTS</v>
      </c>
      <c r="C85" s="4">
        <f>plan_statystyki!D188</f>
        <v>0</v>
      </c>
      <c r="D85" s="4">
        <f>plan_statystyki!E188</f>
        <v>60</v>
      </c>
      <c r="E85" s="4">
        <f>plan_statystyki!F188</f>
        <v>4</v>
      </c>
      <c r="F85" s="382">
        <f t="shared" si="19"/>
        <v>100</v>
      </c>
      <c r="G85" s="4">
        <f t="shared" si="20"/>
        <v>60</v>
      </c>
      <c r="H85" s="4">
        <f>plan_statystyki!G188</f>
        <v>60</v>
      </c>
      <c r="I85" s="4">
        <f>plan_statystyki!I188</f>
        <v>40</v>
      </c>
      <c r="J85" s="4" t="str">
        <f>plan_statystyki!K188</f>
        <v>Z</v>
      </c>
      <c r="K85" s="4">
        <f>plan_statystyki!L188</f>
        <v>0</v>
      </c>
      <c r="L85" s="4">
        <f>plan_statystyki!Q188</f>
        <v>0</v>
      </c>
      <c r="M85" s="4">
        <f>plan_statystyki!V188</f>
        <v>60</v>
      </c>
      <c r="N85" s="4">
        <f>plan_statystyki!AA188</f>
        <v>0</v>
      </c>
      <c r="O85" s="4">
        <f>plan_statystyki!AE188</f>
        <v>0</v>
      </c>
    </row>
    <row r="86" spans="1:15" x14ac:dyDescent="0.25">
      <c r="A86" t="s">
        <v>286</v>
      </c>
      <c r="B86" s="379" t="str">
        <f>plan_statystyki!C194</f>
        <v xml:space="preserve">Warsztaty praktyczne ("do wyboru") </v>
      </c>
      <c r="C86" s="4" t="str">
        <f>plan_statystyki!D194</f>
        <v>Zakład Kosmetologii i Medycyny Estetycznej</v>
      </c>
      <c r="D86" s="4">
        <f>plan_statystyki!E194</f>
        <v>100</v>
      </c>
      <c r="E86" s="4">
        <f>plan_statystyki!F194</f>
        <v>6</v>
      </c>
      <c r="F86" s="382">
        <f t="shared" si="19"/>
        <v>150</v>
      </c>
      <c r="G86" s="4">
        <f t="shared" si="20"/>
        <v>100</v>
      </c>
      <c r="H86" s="4">
        <f>plan_statystyki!G194</f>
        <v>100</v>
      </c>
      <c r="I86" s="4">
        <f>plan_statystyki!I194</f>
        <v>50</v>
      </c>
      <c r="J86" s="4" t="str">
        <f>plan_statystyki!K194</f>
        <v xml:space="preserve">E </v>
      </c>
      <c r="K86" s="4">
        <f>plan_statystyki!L194</f>
        <v>0</v>
      </c>
      <c r="L86" s="4">
        <f>plan_statystyki!Q194</f>
        <v>0</v>
      </c>
      <c r="M86" s="4">
        <f>plan_statystyki!V194</f>
        <v>0</v>
      </c>
      <c r="N86" s="4">
        <f>plan_statystyki!AA194</f>
        <v>100</v>
      </c>
      <c r="O86" s="4">
        <f>plan_statystyki!AE194</f>
        <v>0</v>
      </c>
    </row>
    <row r="87" spans="1:15" x14ac:dyDescent="0.25">
      <c r="A87" s="7" t="s">
        <v>299</v>
      </c>
      <c r="B87" s="376" t="str">
        <f>plan_statystyki!C196</f>
        <v>PRACA DYPLOMOWA</v>
      </c>
      <c r="C87" s="4" t="str">
        <f>plan_statystyki!D196</f>
        <v>Jednostki UM</v>
      </c>
      <c r="D87" s="4">
        <f>plan_statystyki!E196</f>
        <v>50</v>
      </c>
      <c r="E87" s="4">
        <f>plan_statystyki!F196</f>
        <v>7</v>
      </c>
      <c r="F87" s="382">
        <f t="shared" si="19"/>
        <v>175</v>
      </c>
      <c r="G87" s="4">
        <f t="shared" si="20"/>
        <v>50</v>
      </c>
      <c r="H87" s="4">
        <f>plan_statystyki!G196</f>
        <v>55</v>
      </c>
      <c r="I87" s="4">
        <f>plan_statystyki!I196</f>
        <v>120</v>
      </c>
      <c r="J87" s="564" t="str">
        <f>plan_statystyki!K196</f>
        <v>ZO</v>
      </c>
      <c r="K87" s="4">
        <f>plan_statystyki!L196</f>
        <v>0</v>
      </c>
      <c r="L87" s="4">
        <f>plan_statystyki!Q196</f>
        <v>0</v>
      </c>
      <c r="M87" s="4">
        <f>plan_statystyki!V196</f>
        <v>50</v>
      </c>
      <c r="N87" s="4">
        <f>plan_statystyki!AA196</f>
        <v>0</v>
      </c>
      <c r="O87" s="4">
        <f>plan_statystyki!AE196</f>
        <v>0</v>
      </c>
    </row>
    <row r="88" spans="1:15" x14ac:dyDescent="0.25">
      <c r="A88" s="7" t="s">
        <v>299</v>
      </c>
      <c r="B88" s="376" t="s">
        <v>244</v>
      </c>
      <c r="C88" s="4" t="str">
        <f>plan_statystyki!D197</f>
        <v xml:space="preserve"> Biblioteka UM </v>
      </c>
      <c r="D88" s="4">
        <f>plan_statystyki!E197</f>
        <v>5</v>
      </c>
      <c r="E88" s="4">
        <f>plan_statystyki!F197</f>
        <v>0</v>
      </c>
      <c r="F88" s="382">
        <f t="shared" si="19"/>
        <v>0</v>
      </c>
      <c r="G88" s="4">
        <f t="shared" si="20"/>
        <v>5</v>
      </c>
      <c r="H88" s="4">
        <f>plan_statystyki!G197</f>
        <v>0</v>
      </c>
      <c r="I88" s="4">
        <f>plan_statystyki!I197</f>
        <v>0</v>
      </c>
      <c r="J88" s="564"/>
      <c r="K88" s="4">
        <f>plan_statystyki!L197</f>
        <v>5</v>
      </c>
      <c r="L88" s="4">
        <f>plan_statystyki!Q197</f>
        <v>0</v>
      </c>
      <c r="M88" s="4">
        <f>plan_statystyki!V197</f>
        <v>0</v>
      </c>
      <c r="N88" s="4">
        <f>plan_statystyki!AA197</f>
        <v>0</v>
      </c>
      <c r="O88" s="4">
        <f>plan_statystyki!AE197</f>
        <v>0</v>
      </c>
    </row>
    <row r="89" spans="1:15" x14ac:dyDescent="0.25">
      <c r="A89" s="7" t="s">
        <v>299</v>
      </c>
      <c r="B89" s="376" t="str">
        <f>plan_statystyki!C198</f>
        <v>Egzamin dyplomowy</v>
      </c>
      <c r="C89" s="4" t="str">
        <f>plan_statystyki!D198</f>
        <v>Jednostki UM</v>
      </c>
      <c r="D89" s="4">
        <f>plan_statystyki!E198</f>
        <v>3</v>
      </c>
      <c r="E89" s="4">
        <f>plan_statystyki!F198</f>
        <v>3</v>
      </c>
      <c r="F89" s="382">
        <f t="shared" si="19"/>
        <v>75</v>
      </c>
      <c r="G89" s="4">
        <f t="shared" si="20"/>
        <v>3</v>
      </c>
      <c r="H89" s="4">
        <f>plan_statystyki!G198</f>
        <v>3</v>
      </c>
      <c r="I89" s="4">
        <f>plan_statystyki!I198</f>
        <v>72</v>
      </c>
      <c r="J89" s="4" t="str">
        <f>plan_statystyki!K198</f>
        <v>E (DP)</v>
      </c>
      <c r="K89" s="4">
        <f>plan_statystyki!L198</f>
        <v>0</v>
      </c>
      <c r="L89" s="4">
        <f>plan_statystyki!Q198</f>
        <v>0</v>
      </c>
      <c r="M89" s="4">
        <f>plan_statystyki!V198</f>
        <v>3</v>
      </c>
      <c r="N89" s="4">
        <f>plan_statystyki!AA198</f>
        <v>0</v>
      </c>
      <c r="O89" s="4">
        <f>plan_statystyki!AE198</f>
        <v>0</v>
      </c>
    </row>
    <row r="90" spans="1:15" x14ac:dyDescent="0.25">
      <c r="B90" s="353" t="s">
        <v>304</v>
      </c>
      <c r="C90" s="4">
        <f>plan_statystyki!D200</f>
        <v>0</v>
      </c>
      <c r="D90" s="4">
        <f>plan_statystyki!E200</f>
        <v>360</v>
      </c>
      <c r="E90" s="5">
        <f>plan_statystyki!F200</f>
        <v>30</v>
      </c>
      <c r="F90" s="5">
        <f t="shared" si="19"/>
        <v>750</v>
      </c>
      <c r="G90" s="5">
        <f t="shared" si="20"/>
        <v>360</v>
      </c>
      <c r="H90" s="5">
        <f>plan_statystyki!G200</f>
        <v>360</v>
      </c>
      <c r="I90" s="5">
        <f>plan_statystyki!I200</f>
        <v>392</v>
      </c>
      <c r="J90" s="5"/>
      <c r="K90" s="5">
        <f>plan_statystyki!L200</f>
        <v>45</v>
      </c>
      <c r="L90" s="5">
        <f>plan_statystyki!Q200</f>
        <v>50</v>
      </c>
      <c r="M90" s="5">
        <f>plan_statystyki!V200</f>
        <v>165</v>
      </c>
      <c r="N90" s="5">
        <f>plan_statystyki!AA200</f>
        <v>100</v>
      </c>
      <c r="O90" s="5">
        <f>plan_statystyki!AE200</f>
        <v>0</v>
      </c>
    </row>
    <row r="91" spans="1:15" x14ac:dyDescent="0.25">
      <c r="B91" s="2" t="s">
        <v>305</v>
      </c>
      <c r="I91" s="3" t="s">
        <v>306</v>
      </c>
      <c r="J91" s="382"/>
      <c r="K91" s="3" t="s">
        <v>289</v>
      </c>
      <c r="L91" s="3" t="s">
        <v>298</v>
      </c>
      <c r="M91" s="3" t="s">
        <v>291</v>
      </c>
      <c r="N91" s="3" t="s">
        <v>307</v>
      </c>
      <c r="O91" s="381" t="s">
        <v>308</v>
      </c>
    </row>
    <row r="92" spans="1:15" x14ac:dyDescent="0.25">
      <c r="I92" s="384">
        <f>I90/F90*100</f>
        <v>52.266666666666659</v>
      </c>
      <c r="J92" s="382"/>
      <c r="K92" s="384">
        <f>K90/$G$90*100</f>
        <v>12.5</v>
      </c>
      <c r="L92" s="384">
        <f>L90/$G$90*100</f>
        <v>13.888888888888889</v>
      </c>
      <c r="M92" s="384">
        <f t="shared" ref="M92:O92" si="21">M90/$G$90*100</f>
        <v>45.833333333333329</v>
      </c>
      <c r="N92" s="384">
        <f t="shared" si="21"/>
        <v>27.777777777777779</v>
      </c>
      <c r="O92" s="384">
        <f t="shared" si="21"/>
        <v>0</v>
      </c>
    </row>
    <row r="93" spans="1:15" x14ac:dyDescent="0.25">
      <c r="B93" s="2" t="s">
        <v>310</v>
      </c>
    </row>
    <row r="94" spans="1:15" x14ac:dyDescent="0.25">
      <c r="B94" s="2" t="s">
        <v>311</v>
      </c>
    </row>
    <row r="95" spans="1:15" x14ac:dyDescent="0.25">
      <c r="B95" s="2" t="s">
        <v>312</v>
      </c>
    </row>
    <row r="96" spans="1:15" x14ac:dyDescent="0.25">
      <c r="B96" s="2" t="s">
        <v>313</v>
      </c>
    </row>
    <row r="97" spans="2:2" x14ac:dyDescent="0.25">
      <c r="B97" s="2" t="s">
        <v>314</v>
      </c>
    </row>
    <row r="98" spans="2:2" x14ac:dyDescent="0.25">
      <c r="B98" s="2" t="s">
        <v>315</v>
      </c>
    </row>
  </sheetData>
  <mergeCells count="5">
    <mergeCell ref="B20:O20"/>
    <mergeCell ref="B63:O63"/>
    <mergeCell ref="B77:O77"/>
    <mergeCell ref="J87:J88"/>
    <mergeCell ref="J51:J52"/>
  </mergeCells>
  <pageMargins left="0.7" right="0.7" top="0.75" bottom="0.75" header="0.3" footer="0.3"/>
  <pageSetup paperSize="9" scale="3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82"/>
  <sheetViews>
    <sheetView topLeftCell="I1" zoomScaleNormal="100" workbookViewId="0">
      <selection activeCell="P13" sqref="P13"/>
    </sheetView>
  </sheetViews>
  <sheetFormatPr defaultRowHeight="15" x14ac:dyDescent="0.25"/>
  <cols>
    <col min="1" max="1" width="55.28515625" style="1" customWidth="1"/>
    <col min="2" max="2" width="17.5703125" customWidth="1"/>
    <col min="3" max="3" width="24.42578125" customWidth="1"/>
    <col min="4" max="4" width="19.28515625" customWidth="1"/>
    <col min="5" max="5" width="22.28515625" customWidth="1"/>
    <col min="6" max="6" width="21.7109375" style="2" customWidth="1"/>
    <col min="7" max="7" width="36.5703125" style="2" customWidth="1"/>
    <col min="8" max="8" width="38" style="2" customWidth="1"/>
    <col min="9" max="9" width="26.42578125" style="2" customWidth="1"/>
    <col min="10" max="10" width="60.85546875" style="405" customWidth="1"/>
    <col min="11" max="11" width="31.28515625" customWidth="1"/>
    <col min="12" max="12" width="9.42578125" customWidth="1"/>
    <col min="13" max="13" width="6.140625" customWidth="1"/>
    <col min="14" max="14" width="11.28515625" customWidth="1"/>
    <col min="15" max="15" width="11.7109375" style="425" customWidth="1"/>
    <col min="16" max="59" width="31.28515625" customWidth="1"/>
    <col min="60" max="60" width="50.85546875" style="2" customWidth="1"/>
    <col min="61" max="61" width="57" style="2" customWidth="1"/>
  </cols>
  <sheetData>
    <row r="1" spans="1:67" ht="25.9" customHeight="1" x14ac:dyDescent="0.25">
      <c r="A1" s="402" t="s">
        <v>316</v>
      </c>
      <c r="B1" s="284" t="s">
        <v>317</v>
      </c>
      <c r="C1" s="284" t="s">
        <v>318</v>
      </c>
      <c r="D1" s="284" t="s">
        <v>319</v>
      </c>
      <c r="E1" s="284" t="s">
        <v>320</v>
      </c>
      <c r="F1" s="284" t="s">
        <v>321</v>
      </c>
      <c r="G1" s="284" t="s">
        <v>322</v>
      </c>
      <c r="H1" s="284" t="s">
        <v>323</v>
      </c>
      <c r="I1" s="284" t="s">
        <v>324</v>
      </c>
      <c r="J1" s="404" t="s">
        <v>325</v>
      </c>
      <c r="K1" s="285"/>
      <c r="L1" s="285"/>
      <c r="M1" s="285"/>
      <c r="N1" s="285"/>
      <c r="O1" s="425" t="s">
        <v>8</v>
      </c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4">
        <v>2023</v>
      </c>
      <c r="BI1" s="284">
        <v>2024</v>
      </c>
      <c r="BK1" s="140"/>
      <c r="BL1" s="140"/>
      <c r="BM1" s="140"/>
      <c r="BN1" s="140"/>
      <c r="BO1" s="140"/>
    </row>
    <row r="2" spans="1:67" x14ac:dyDescent="0.25">
      <c r="A2" s="1" t="s">
        <v>326</v>
      </c>
      <c r="B2" s="283" t="s">
        <v>327</v>
      </c>
      <c r="C2" s="2" t="s">
        <v>328</v>
      </c>
      <c r="D2" s="283" t="s">
        <v>329</v>
      </c>
      <c r="E2" s="283" t="s">
        <v>330</v>
      </c>
      <c r="F2" s="283" t="s">
        <v>331</v>
      </c>
      <c r="G2" s="283" t="s">
        <v>332</v>
      </c>
      <c r="H2" s="2" t="s">
        <v>333</v>
      </c>
      <c r="I2" s="2" t="s">
        <v>334</v>
      </c>
      <c r="J2" s="407" t="s">
        <v>24</v>
      </c>
      <c r="K2" t="s">
        <v>335</v>
      </c>
      <c r="L2" s="412" t="s">
        <v>336</v>
      </c>
      <c r="M2" s="412">
        <v>1</v>
      </c>
      <c r="N2" s="565" t="s">
        <v>337</v>
      </c>
      <c r="O2" s="426">
        <v>2</v>
      </c>
      <c r="BH2" s="278" t="s">
        <v>24</v>
      </c>
      <c r="BI2" s="278" t="s">
        <v>24</v>
      </c>
    </row>
    <row r="3" spans="1:67" x14ac:dyDescent="0.25">
      <c r="A3" s="1" t="s">
        <v>338</v>
      </c>
      <c r="B3" s="2" t="s">
        <v>339</v>
      </c>
      <c r="C3" s="2" t="s">
        <v>340</v>
      </c>
      <c r="D3" s="283" t="s">
        <v>341</v>
      </c>
      <c r="E3" s="2" t="s">
        <v>342</v>
      </c>
      <c r="G3" s="2" t="s">
        <v>343</v>
      </c>
      <c r="H3" s="2" t="s">
        <v>344</v>
      </c>
      <c r="I3" s="2" t="s">
        <v>345</v>
      </c>
      <c r="J3" s="407" t="s">
        <v>82</v>
      </c>
      <c r="K3" t="s">
        <v>346</v>
      </c>
      <c r="L3" s="412" t="s">
        <v>347</v>
      </c>
      <c r="M3" s="412">
        <v>2</v>
      </c>
      <c r="N3" s="565"/>
      <c r="O3" s="426">
        <v>4</v>
      </c>
      <c r="BH3" s="278" t="s">
        <v>82</v>
      </c>
      <c r="BI3" s="278" t="s">
        <v>82</v>
      </c>
    </row>
    <row r="4" spans="1:67" x14ac:dyDescent="0.25">
      <c r="A4" s="1" t="s">
        <v>348</v>
      </c>
      <c r="B4" s="2"/>
      <c r="C4" s="2" t="s">
        <v>349</v>
      </c>
      <c r="D4" s="283" t="s">
        <v>350</v>
      </c>
      <c r="E4" s="2" t="s">
        <v>351</v>
      </c>
      <c r="G4" s="2" t="s">
        <v>352</v>
      </c>
      <c r="J4" s="407" t="s">
        <v>84</v>
      </c>
      <c r="K4" t="s">
        <v>353</v>
      </c>
      <c r="L4" s="412" t="s">
        <v>354</v>
      </c>
      <c r="M4" s="412">
        <v>3</v>
      </c>
      <c r="N4" s="565"/>
      <c r="O4" s="426">
        <v>3</v>
      </c>
      <c r="BH4" s="278" t="s">
        <v>84</v>
      </c>
      <c r="BI4" s="278" t="s">
        <v>84</v>
      </c>
    </row>
    <row r="5" spans="1:67" x14ac:dyDescent="0.25">
      <c r="A5" s="402" t="s">
        <v>317</v>
      </c>
      <c r="B5" s="2"/>
      <c r="C5" s="2" t="s">
        <v>355</v>
      </c>
      <c r="D5" s="283" t="s">
        <v>356</v>
      </c>
      <c r="E5" s="2" t="s">
        <v>357</v>
      </c>
      <c r="J5" s="407" t="s">
        <v>28</v>
      </c>
      <c r="K5" t="s">
        <v>358</v>
      </c>
      <c r="L5" s="412" t="s">
        <v>359</v>
      </c>
      <c r="M5" s="412">
        <v>4</v>
      </c>
      <c r="N5" s="565"/>
      <c r="O5" s="426">
        <v>3</v>
      </c>
      <c r="BH5" s="278" t="s">
        <v>28</v>
      </c>
      <c r="BI5" s="278" t="s">
        <v>28</v>
      </c>
    </row>
    <row r="6" spans="1:67" x14ac:dyDescent="0.25">
      <c r="A6" s="1" t="s">
        <v>327</v>
      </c>
      <c r="B6" s="2"/>
      <c r="C6" s="2" t="s">
        <v>360</v>
      </c>
      <c r="J6" s="407" t="s">
        <v>361</v>
      </c>
      <c r="K6" t="s">
        <v>362</v>
      </c>
      <c r="L6" s="412" t="s">
        <v>363</v>
      </c>
      <c r="M6" s="412">
        <v>5</v>
      </c>
      <c r="N6" s="565"/>
      <c r="O6" s="426">
        <v>4</v>
      </c>
      <c r="BH6" s="278" t="s">
        <v>361</v>
      </c>
      <c r="BI6" s="278" t="s">
        <v>151</v>
      </c>
    </row>
    <row r="7" spans="1:67" x14ac:dyDescent="0.25">
      <c r="A7" s="1" t="s">
        <v>339</v>
      </c>
      <c r="B7" s="2"/>
      <c r="C7" s="2" t="s">
        <v>364</v>
      </c>
      <c r="J7" s="407" t="s">
        <v>365</v>
      </c>
      <c r="K7" t="s">
        <v>366</v>
      </c>
      <c r="L7" s="412" t="s">
        <v>367</v>
      </c>
      <c r="M7" s="412">
        <v>6</v>
      </c>
      <c r="N7" s="565"/>
      <c r="O7" s="426">
        <v>3</v>
      </c>
      <c r="BH7" s="278" t="s">
        <v>365</v>
      </c>
      <c r="BI7" s="278" t="s">
        <v>87</v>
      </c>
    </row>
    <row r="8" spans="1:67" x14ac:dyDescent="0.25">
      <c r="A8" s="402" t="s">
        <v>318</v>
      </c>
      <c r="B8" s="2"/>
      <c r="C8" s="2" t="s">
        <v>368</v>
      </c>
      <c r="J8" s="407" t="s">
        <v>369</v>
      </c>
      <c r="K8" t="s">
        <v>370</v>
      </c>
      <c r="L8" s="412" t="s">
        <v>371</v>
      </c>
      <c r="M8" s="412">
        <v>7</v>
      </c>
      <c r="N8" s="565"/>
      <c r="O8" s="426">
        <v>1</v>
      </c>
      <c r="BH8" s="278" t="s">
        <v>372</v>
      </c>
      <c r="BI8" s="278" t="s">
        <v>373</v>
      </c>
      <c r="BK8" s="140"/>
      <c r="BL8" s="140"/>
      <c r="BM8" s="140"/>
      <c r="BN8" s="140"/>
    </row>
    <row r="9" spans="1:67" x14ac:dyDescent="0.25">
      <c r="A9" s="1" t="s">
        <v>328</v>
      </c>
      <c r="B9" s="2"/>
      <c r="C9" s="2" t="s">
        <v>374</v>
      </c>
      <c r="J9" s="407" t="s">
        <v>31</v>
      </c>
      <c r="K9" t="s">
        <v>375</v>
      </c>
      <c r="L9" s="412" t="s">
        <v>376</v>
      </c>
      <c r="M9" s="412">
        <v>8</v>
      </c>
      <c r="N9" s="565"/>
      <c r="O9" s="426">
        <v>3</v>
      </c>
      <c r="BH9" s="278" t="s">
        <v>31</v>
      </c>
      <c r="BI9" s="278" t="s">
        <v>31</v>
      </c>
    </row>
    <row r="10" spans="1:67" x14ac:dyDescent="0.25">
      <c r="A10" s="1" t="s">
        <v>340</v>
      </c>
      <c r="B10" s="2"/>
      <c r="C10" s="2" t="s">
        <v>377</v>
      </c>
      <c r="J10" s="407" t="s">
        <v>106</v>
      </c>
      <c r="K10" t="s">
        <v>378</v>
      </c>
      <c r="L10" s="412" t="s">
        <v>379</v>
      </c>
      <c r="M10" s="412">
        <v>9</v>
      </c>
      <c r="N10" s="565"/>
      <c r="O10" s="426">
        <v>1</v>
      </c>
      <c r="BH10" s="278" t="s">
        <v>106</v>
      </c>
      <c r="BI10" s="278" t="s">
        <v>106</v>
      </c>
    </row>
    <row r="11" spans="1:67" x14ac:dyDescent="0.25">
      <c r="A11" s="1" t="s">
        <v>349</v>
      </c>
      <c r="B11" s="2"/>
      <c r="C11" s="283" t="s">
        <v>380</v>
      </c>
      <c r="J11" s="407" t="s">
        <v>103</v>
      </c>
      <c r="K11" t="s">
        <v>381</v>
      </c>
      <c r="L11" s="412" t="s">
        <v>382</v>
      </c>
      <c r="M11" s="412">
        <v>10</v>
      </c>
      <c r="N11" s="565"/>
      <c r="O11" s="426">
        <v>5</v>
      </c>
      <c r="BH11" s="278" t="s">
        <v>103</v>
      </c>
      <c r="BI11" s="278" t="s">
        <v>103</v>
      </c>
    </row>
    <row r="12" spans="1:67" x14ac:dyDescent="0.25">
      <c r="A12" s="1" t="s">
        <v>355</v>
      </c>
      <c r="B12" s="2"/>
      <c r="C12" s="2" t="s">
        <v>383</v>
      </c>
      <c r="J12" s="407" t="s">
        <v>89</v>
      </c>
      <c r="K12" t="s">
        <v>384</v>
      </c>
      <c r="L12" s="412" t="s">
        <v>385</v>
      </c>
      <c r="M12" s="412">
        <v>11</v>
      </c>
      <c r="N12" s="565"/>
      <c r="O12" s="426">
        <v>4</v>
      </c>
      <c r="BH12" s="278" t="s">
        <v>89</v>
      </c>
      <c r="BI12" s="278" t="s">
        <v>89</v>
      </c>
    </row>
    <row r="13" spans="1:67" x14ac:dyDescent="0.25">
      <c r="A13" s="1" t="s">
        <v>360</v>
      </c>
      <c r="B13" s="2"/>
      <c r="C13" s="2" t="s">
        <v>386</v>
      </c>
      <c r="J13" s="408" t="s">
        <v>34</v>
      </c>
      <c r="K13" t="s">
        <v>387</v>
      </c>
      <c r="L13" s="412" t="s">
        <v>388</v>
      </c>
      <c r="M13" s="412">
        <v>12</v>
      </c>
      <c r="N13" s="565"/>
      <c r="O13" s="426">
        <v>2</v>
      </c>
      <c r="P13" s="405"/>
      <c r="BH13" s="278" t="s">
        <v>34</v>
      </c>
      <c r="BI13" s="278" t="s">
        <v>34</v>
      </c>
    </row>
    <row r="14" spans="1:67" x14ac:dyDescent="0.25">
      <c r="A14" s="1" t="s">
        <v>364</v>
      </c>
      <c r="B14" s="2"/>
      <c r="C14" s="2" t="s">
        <v>389</v>
      </c>
      <c r="J14" s="406" t="s">
        <v>390</v>
      </c>
      <c r="K14" t="s">
        <v>391</v>
      </c>
      <c r="L14" s="412" t="s">
        <v>392</v>
      </c>
      <c r="M14" s="412">
        <v>1</v>
      </c>
      <c r="N14" s="566" t="s">
        <v>393</v>
      </c>
      <c r="O14" s="426">
        <v>2</v>
      </c>
      <c r="BH14" s="279" t="s">
        <v>390</v>
      </c>
      <c r="BI14" s="279" t="s">
        <v>48</v>
      </c>
    </row>
    <row r="15" spans="1:67" x14ac:dyDescent="0.25">
      <c r="A15" s="1" t="s">
        <v>368</v>
      </c>
      <c r="B15" s="2"/>
      <c r="C15" s="2" t="s">
        <v>394</v>
      </c>
      <c r="J15" s="406" t="s">
        <v>109</v>
      </c>
      <c r="K15" t="s">
        <v>395</v>
      </c>
      <c r="L15" s="412" t="s">
        <v>396</v>
      </c>
      <c r="M15" s="412">
        <v>2</v>
      </c>
      <c r="N15" s="566"/>
      <c r="O15" s="426">
        <v>5</v>
      </c>
      <c r="BH15" s="279" t="s">
        <v>44</v>
      </c>
      <c r="BI15" s="279" t="s">
        <v>109</v>
      </c>
    </row>
    <row r="16" spans="1:67" x14ac:dyDescent="0.25">
      <c r="A16" s="1" t="s">
        <v>374</v>
      </c>
      <c r="B16" s="2"/>
      <c r="C16" s="2" t="s">
        <v>397</v>
      </c>
      <c r="J16" s="406" t="s">
        <v>153</v>
      </c>
      <c r="K16" t="s">
        <v>398</v>
      </c>
      <c r="L16" s="412" t="s">
        <v>399</v>
      </c>
      <c r="M16" s="412">
        <v>3</v>
      </c>
      <c r="N16" s="566"/>
      <c r="O16" s="426">
        <v>2</v>
      </c>
      <c r="BH16" s="279" t="s">
        <v>109</v>
      </c>
      <c r="BI16" s="279" t="s">
        <v>153</v>
      </c>
    </row>
    <row r="17" spans="1:62" x14ac:dyDescent="0.25">
      <c r="A17" s="1" t="s">
        <v>377</v>
      </c>
      <c r="B17" s="2"/>
      <c r="C17" s="2" t="s">
        <v>400</v>
      </c>
      <c r="J17" s="406" t="s">
        <v>168</v>
      </c>
      <c r="K17" t="s">
        <v>401</v>
      </c>
      <c r="L17" s="412" t="s">
        <v>402</v>
      </c>
      <c r="M17" s="412">
        <v>4</v>
      </c>
      <c r="N17" s="566"/>
      <c r="O17" s="426">
        <v>4</v>
      </c>
      <c r="BH17" s="279" t="s">
        <v>153</v>
      </c>
      <c r="BI17" s="279" t="s">
        <v>168</v>
      </c>
    </row>
    <row r="18" spans="1:62" ht="14.45" customHeight="1" x14ac:dyDescent="0.25">
      <c r="A18" s="1" t="s">
        <v>380</v>
      </c>
      <c r="B18" s="2"/>
      <c r="C18" s="2" t="s">
        <v>403</v>
      </c>
      <c r="J18" s="406" t="s">
        <v>404</v>
      </c>
      <c r="K18" t="s">
        <v>405</v>
      </c>
      <c r="L18" s="412" t="s">
        <v>406</v>
      </c>
      <c r="M18" s="412">
        <v>5</v>
      </c>
      <c r="N18" s="566"/>
      <c r="O18" s="426">
        <v>10</v>
      </c>
      <c r="P18" t="s">
        <v>407</v>
      </c>
      <c r="BH18" s="279" t="s">
        <v>168</v>
      </c>
      <c r="BI18" s="279" t="s">
        <v>404</v>
      </c>
    </row>
    <row r="19" spans="1:62" x14ac:dyDescent="0.25">
      <c r="A19" s="1" t="s">
        <v>383</v>
      </c>
      <c r="J19" s="406" t="s">
        <v>130</v>
      </c>
      <c r="K19" t="s">
        <v>408</v>
      </c>
      <c r="L19" s="412" t="s">
        <v>409</v>
      </c>
      <c r="M19" s="412">
        <v>6</v>
      </c>
      <c r="N19" s="566"/>
      <c r="O19" s="426">
        <v>7</v>
      </c>
      <c r="BH19" s="279" t="s">
        <v>404</v>
      </c>
      <c r="BI19" s="279" t="s">
        <v>130</v>
      </c>
    </row>
    <row r="20" spans="1:62" x14ac:dyDescent="0.25">
      <c r="A20" s="1" t="s">
        <v>386</v>
      </c>
      <c r="J20" s="406" t="s">
        <v>133</v>
      </c>
      <c r="K20" t="s">
        <v>410</v>
      </c>
      <c r="L20" s="412" t="s">
        <v>411</v>
      </c>
      <c r="M20" s="412">
        <v>7</v>
      </c>
      <c r="N20" s="566"/>
      <c r="O20" s="426">
        <v>4</v>
      </c>
      <c r="BH20" s="279" t="s">
        <v>130</v>
      </c>
      <c r="BI20" s="279" t="s">
        <v>133</v>
      </c>
    </row>
    <row r="21" spans="1:62" x14ac:dyDescent="0.25">
      <c r="A21" s="1" t="s">
        <v>389</v>
      </c>
      <c r="J21" s="406" t="s">
        <v>154</v>
      </c>
      <c r="K21" t="s">
        <v>412</v>
      </c>
      <c r="L21" s="412" t="s">
        <v>413</v>
      </c>
      <c r="M21" s="412">
        <v>8</v>
      </c>
      <c r="N21" s="566"/>
      <c r="O21" s="426">
        <v>3</v>
      </c>
      <c r="BH21" s="279" t="s">
        <v>133</v>
      </c>
      <c r="BI21" s="279" t="s">
        <v>154</v>
      </c>
    </row>
    <row r="22" spans="1:62" x14ac:dyDescent="0.25">
      <c r="A22" s="1" t="s">
        <v>394</v>
      </c>
      <c r="J22" s="406" t="s">
        <v>414</v>
      </c>
      <c r="K22" t="s">
        <v>415</v>
      </c>
      <c r="L22" s="412" t="s">
        <v>416</v>
      </c>
      <c r="M22" s="412">
        <v>9</v>
      </c>
      <c r="N22" s="566"/>
      <c r="O22" s="426">
        <v>3</v>
      </c>
      <c r="BH22" s="279" t="s">
        <v>154</v>
      </c>
      <c r="BI22" s="279" t="s">
        <v>44</v>
      </c>
    </row>
    <row r="23" spans="1:62" x14ac:dyDescent="0.25">
      <c r="A23" s="1" t="s">
        <v>397</v>
      </c>
      <c r="J23" s="409" t="s">
        <v>62</v>
      </c>
      <c r="K23" t="s">
        <v>417</v>
      </c>
      <c r="L23" s="412" t="s">
        <v>418</v>
      </c>
      <c r="M23" s="412">
        <v>1</v>
      </c>
      <c r="N23" s="566" t="s">
        <v>419</v>
      </c>
      <c r="O23" s="426">
        <v>2</v>
      </c>
      <c r="BH23" s="281" t="s">
        <v>62</v>
      </c>
      <c r="BI23" s="281" t="s">
        <v>62</v>
      </c>
    </row>
    <row r="24" spans="1:62" x14ac:dyDescent="0.25">
      <c r="A24" s="1" t="s">
        <v>400</v>
      </c>
      <c r="J24" s="409" t="s">
        <v>172</v>
      </c>
      <c r="K24" t="s">
        <v>420</v>
      </c>
      <c r="L24" s="412" t="s">
        <v>421</v>
      </c>
      <c r="M24" s="412">
        <v>2</v>
      </c>
      <c r="N24" s="566"/>
      <c r="O24" s="426">
        <v>2</v>
      </c>
      <c r="BH24" s="281" t="s">
        <v>422</v>
      </c>
      <c r="BI24" s="281" t="s">
        <v>172</v>
      </c>
    </row>
    <row r="25" spans="1:62" x14ac:dyDescent="0.25">
      <c r="A25" s="1" t="s">
        <v>403</v>
      </c>
      <c r="J25" s="410" t="s">
        <v>114</v>
      </c>
      <c r="K25" t="s">
        <v>423</v>
      </c>
      <c r="L25" s="412" t="s">
        <v>424</v>
      </c>
      <c r="M25" s="412">
        <v>3</v>
      </c>
      <c r="N25" s="566"/>
      <c r="O25" s="426">
        <v>3</v>
      </c>
      <c r="BH25" s="281" t="s">
        <v>172</v>
      </c>
      <c r="BI25" s="400" t="s">
        <v>114</v>
      </c>
      <c r="BJ25" t="s">
        <v>425</v>
      </c>
    </row>
    <row r="26" spans="1:62" x14ac:dyDescent="0.25">
      <c r="A26" s="1" t="s">
        <v>426</v>
      </c>
      <c r="J26" s="409" t="s">
        <v>427</v>
      </c>
      <c r="K26" t="s">
        <v>428</v>
      </c>
      <c r="L26" s="412" t="s">
        <v>429</v>
      </c>
      <c r="M26" s="412">
        <v>4</v>
      </c>
      <c r="N26" s="566"/>
      <c r="O26" s="426">
        <v>3</v>
      </c>
      <c r="BH26" s="281" t="s">
        <v>170</v>
      </c>
      <c r="BI26" s="281" t="s">
        <v>430</v>
      </c>
    </row>
    <row r="27" spans="1:62" x14ac:dyDescent="0.25">
      <c r="A27" s="1" t="s">
        <v>319</v>
      </c>
      <c r="J27" s="409" t="s">
        <v>137</v>
      </c>
      <c r="K27" t="s">
        <v>431</v>
      </c>
      <c r="L27" s="412" t="s">
        <v>432</v>
      </c>
      <c r="M27" s="412">
        <v>5</v>
      </c>
      <c r="N27" s="566"/>
      <c r="O27" s="426">
        <v>2</v>
      </c>
      <c r="BH27" s="281" t="s">
        <v>118</v>
      </c>
      <c r="BI27" s="281" t="s">
        <v>136</v>
      </c>
    </row>
    <row r="28" spans="1:62" x14ac:dyDescent="0.25">
      <c r="A28" s="1" t="s">
        <v>329</v>
      </c>
      <c r="J28" s="410" t="s">
        <v>433</v>
      </c>
      <c r="K28" t="s">
        <v>434</v>
      </c>
      <c r="L28" s="412" t="s">
        <v>435</v>
      </c>
      <c r="M28" s="412">
        <v>6</v>
      </c>
      <c r="N28" s="566"/>
      <c r="O28" s="426">
        <v>1</v>
      </c>
      <c r="BH28" s="281" t="s">
        <v>156</v>
      </c>
      <c r="BI28" s="281" t="s">
        <v>137</v>
      </c>
    </row>
    <row r="29" spans="1:62" x14ac:dyDescent="0.25">
      <c r="A29" s="1" t="s">
        <v>341</v>
      </c>
      <c r="J29" s="410" t="s">
        <v>436</v>
      </c>
      <c r="K29" t="s">
        <v>437</v>
      </c>
      <c r="L29" s="412" t="s">
        <v>438</v>
      </c>
      <c r="M29" s="412">
        <v>7</v>
      </c>
      <c r="N29" s="566"/>
      <c r="O29" s="426">
        <v>1</v>
      </c>
      <c r="BH29" s="281" t="s">
        <v>139</v>
      </c>
      <c r="BI29" s="400" t="s">
        <v>179</v>
      </c>
    </row>
    <row r="30" spans="1:62" x14ac:dyDescent="0.25">
      <c r="A30" s="1" t="s">
        <v>350</v>
      </c>
      <c r="J30" s="409" t="s">
        <v>439</v>
      </c>
      <c r="K30" t="s">
        <v>440</v>
      </c>
      <c r="L30" s="412" t="s">
        <v>441</v>
      </c>
      <c r="M30" s="412">
        <v>8</v>
      </c>
      <c r="N30" s="566"/>
      <c r="O30" s="426">
        <v>2</v>
      </c>
      <c r="BH30" s="281" t="s">
        <v>137</v>
      </c>
      <c r="BI30" s="400" t="s">
        <v>178</v>
      </c>
    </row>
    <row r="31" spans="1:62" x14ac:dyDescent="0.25">
      <c r="A31" s="1" t="s">
        <v>356</v>
      </c>
      <c r="J31" s="409" t="s">
        <v>170</v>
      </c>
      <c r="K31" t="s">
        <v>442</v>
      </c>
      <c r="L31" s="412" t="s">
        <v>443</v>
      </c>
      <c r="M31" s="412">
        <v>9</v>
      </c>
      <c r="N31" s="566"/>
      <c r="O31" s="426">
        <v>2</v>
      </c>
      <c r="BH31" s="281" t="s">
        <v>439</v>
      </c>
      <c r="BI31" s="281" t="s">
        <v>121</v>
      </c>
    </row>
    <row r="32" spans="1:62" x14ac:dyDescent="0.25">
      <c r="A32" s="1" t="s">
        <v>320</v>
      </c>
      <c r="J32" s="409" t="s">
        <v>118</v>
      </c>
      <c r="K32" t="s">
        <v>444</v>
      </c>
      <c r="L32" s="412" t="s">
        <v>445</v>
      </c>
      <c r="M32" s="412">
        <v>10</v>
      </c>
      <c r="N32" s="566"/>
      <c r="O32" s="426">
        <v>4</v>
      </c>
      <c r="BH32" s="281" t="s">
        <v>427</v>
      </c>
      <c r="BI32" s="281" t="s">
        <v>170</v>
      </c>
    </row>
    <row r="33" spans="1:62" ht="14.45" customHeight="1" x14ac:dyDescent="0.25">
      <c r="A33" s="1" t="s">
        <v>330</v>
      </c>
      <c r="J33" s="410" t="s">
        <v>141</v>
      </c>
      <c r="K33" t="s">
        <v>446</v>
      </c>
      <c r="L33" s="412" t="s">
        <v>447</v>
      </c>
      <c r="M33" s="412">
        <v>11</v>
      </c>
      <c r="N33" s="566"/>
      <c r="O33" s="426">
        <v>1</v>
      </c>
      <c r="BH33" s="281" t="s">
        <v>448</v>
      </c>
      <c r="BI33" s="281" t="s">
        <v>118</v>
      </c>
    </row>
    <row r="34" spans="1:62" x14ac:dyDescent="0.25">
      <c r="A34" s="1" t="s">
        <v>342</v>
      </c>
      <c r="J34" s="410" t="s">
        <v>125</v>
      </c>
      <c r="K34" t="s">
        <v>449</v>
      </c>
      <c r="L34" s="412" t="s">
        <v>450</v>
      </c>
      <c r="M34" s="412">
        <v>12</v>
      </c>
      <c r="N34" s="566"/>
      <c r="O34" s="426">
        <v>3</v>
      </c>
      <c r="BH34" s="281" t="s">
        <v>451</v>
      </c>
      <c r="BI34" s="281" t="s">
        <v>59</v>
      </c>
    </row>
    <row r="35" spans="1:62" x14ac:dyDescent="0.25">
      <c r="A35" s="1" t="s">
        <v>351</v>
      </c>
      <c r="J35" s="409" t="s">
        <v>156</v>
      </c>
      <c r="K35" t="s">
        <v>452</v>
      </c>
      <c r="L35" s="412" t="s">
        <v>453</v>
      </c>
      <c r="M35" s="412">
        <v>13</v>
      </c>
      <c r="N35" s="566"/>
      <c r="O35" s="426">
        <v>2</v>
      </c>
      <c r="BH35" s="281" t="s">
        <v>454</v>
      </c>
      <c r="BI35" s="400" t="s">
        <v>141</v>
      </c>
      <c r="BJ35" t="s">
        <v>455</v>
      </c>
    </row>
    <row r="36" spans="1:62" x14ac:dyDescent="0.25">
      <c r="A36" s="1" t="s">
        <v>357</v>
      </c>
      <c r="J36" s="409" t="s">
        <v>139</v>
      </c>
      <c r="K36" t="s">
        <v>456</v>
      </c>
      <c r="L36" s="412" t="s">
        <v>457</v>
      </c>
      <c r="M36" s="412">
        <v>14</v>
      </c>
      <c r="N36" s="566"/>
      <c r="O36" s="426">
        <v>2</v>
      </c>
      <c r="BH36" s="281" t="s">
        <v>161</v>
      </c>
      <c r="BI36" s="400" t="s">
        <v>125</v>
      </c>
    </row>
    <row r="37" spans="1:62" x14ac:dyDescent="0.25">
      <c r="A37" s="1" t="s">
        <v>321</v>
      </c>
      <c r="J37" s="409" t="s">
        <v>451</v>
      </c>
      <c r="K37" t="s">
        <v>458</v>
      </c>
      <c r="L37" s="412" t="s">
        <v>459</v>
      </c>
      <c r="M37" s="412">
        <v>17</v>
      </c>
      <c r="N37" s="566"/>
      <c r="O37" s="426">
        <v>4</v>
      </c>
      <c r="BH37" s="281" t="s">
        <v>67</v>
      </c>
      <c r="BI37" s="281" t="s">
        <v>156</v>
      </c>
    </row>
    <row r="38" spans="1:62" x14ac:dyDescent="0.25">
      <c r="A38" s="1" t="s">
        <v>460</v>
      </c>
      <c r="J38" s="409" t="s">
        <v>454</v>
      </c>
      <c r="K38" t="s">
        <v>461</v>
      </c>
      <c r="L38" s="412" t="s">
        <v>462</v>
      </c>
      <c r="M38" s="412">
        <v>18</v>
      </c>
      <c r="N38" s="566"/>
      <c r="O38" s="426">
        <v>2</v>
      </c>
      <c r="BH38" s="281" t="s">
        <v>160</v>
      </c>
      <c r="BI38" s="281" t="s">
        <v>139</v>
      </c>
    </row>
    <row r="39" spans="1:62" x14ac:dyDescent="0.25">
      <c r="A39" s="1" t="s">
        <v>322</v>
      </c>
      <c r="J39" s="410" t="s">
        <v>158</v>
      </c>
      <c r="K39" t="s">
        <v>463</v>
      </c>
      <c r="L39" s="412" t="s">
        <v>464</v>
      </c>
      <c r="M39" s="412">
        <v>19</v>
      </c>
      <c r="N39" s="566"/>
      <c r="O39" s="426">
        <v>5</v>
      </c>
      <c r="BH39" s="280" t="s">
        <v>465</v>
      </c>
      <c r="BI39" s="400" t="s">
        <v>158</v>
      </c>
    </row>
    <row r="40" spans="1:62" x14ac:dyDescent="0.25">
      <c r="A40" s="1" t="s">
        <v>332</v>
      </c>
      <c r="J40" s="410" t="s">
        <v>466</v>
      </c>
      <c r="K40" t="s">
        <v>467</v>
      </c>
      <c r="L40" s="412" t="s">
        <v>468</v>
      </c>
      <c r="M40" s="412">
        <v>20</v>
      </c>
      <c r="N40" s="566"/>
      <c r="O40" s="426">
        <v>0</v>
      </c>
      <c r="P40" s="405">
        <v>0</v>
      </c>
      <c r="BH40" s="280" t="s">
        <v>469</v>
      </c>
      <c r="BI40" s="400" t="s">
        <v>470</v>
      </c>
    </row>
    <row r="41" spans="1:62" x14ac:dyDescent="0.25">
      <c r="A41" s="1" t="s">
        <v>343</v>
      </c>
      <c r="J41" s="410" t="s">
        <v>471</v>
      </c>
      <c r="K41" t="s">
        <v>472</v>
      </c>
      <c r="L41" s="412" t="s">
        <v>473</v>
      </c>
      <c r="M41" s="412">
        <v>21</v>
      </c>
      <c r="N41" s="566"/>
      <c r="O41" s="426">
        <v>1</v>
      </c>
      <c r="BH41" s="280" t="s">
        <v>474</v>
      </c>
      <c r="BI41" s="400" t="s">
        <v>471</v>
      </c>
    </row>
    <row r="42" spans="1:62" x14ac:dyDescent="0.25">
      <c r="A42" s="1" t="s">
        <v>352</v>
      </c>
      <c r="J42" s="410" t="s">
        <v>143</v>
      </c>
      <c r="K42" t="s">
        <v>475</v>
      </c>
      <c r="L42" s="412" t="s">
        <v>476</v>
      </c>
      <c r="M42" s="412">
        <v>22</v>
      </c>
      <c r="N42" s="566"/>
      <c r="O42" s="426">
        <v>2</v>
      </c>
      <c r="BH42" s="280" t="s">
        <v>477</v>
      </c>
      <c r="BI42" s="400" t="s">
        <v>478</v>
      </c>
    </row>
    <row r="43" spans="1:62" x14ac:dyDescent="0.25">
      <c r="A43" s="1" t="s">
        <v>323</v>
      </c>
      <c r="J43" s="410" t="s">
        <v>69</v>
      </c>
      <c r="K43" t="s">
        <v>479</v>
      </c>
      <c r="L43" s="412" t="s">
        <v>480</v>
      </c>
      <c r="M43" s="412">
        <v>23</v>
      </c>
      <c r="N43" s="566"/>
      <c r="O43" s="426">
        <v>1</v>
      </c>
      <c r="BH43" s="280" t="s">
        <v>481</v>
      </c>
      <c r="BI43" s="281" t="s">
        <v>482</v>
      </c>
    </row>
    <row r="44" spans="1:62" x14ac:dyDescent="0.25">
      <c r="A44" s="1" t="s">
        <v>483</v>
      </c>
      <c r="J44" s="409" t="s">
        <v>161</v>
      </c>
      <c r="K44" t="s">
        <v>484</v>
      </c>
      <c r="L44" s="412" t="s">
        <v>485</v>
      </c>
      <c r="M44" s="412">
        <v>24</v>
      </c>
      <c r="N44" s="566"/>
      <c r="O44" s="426">
        <v>1</v>
      </c>
      <c r="BH44" s="280" t="s">
        <v>486</v>
      </c>
      <c r="BI44" s="281" t="s">
        <v>487</v>
      </c>
    </row>
    <row r="45" spans="1:62" x14ac:dyDescent="0.25">
      <c r="A45" s="1" t="s">
        <v>488</v>
      </c>
      <c r="J45" s="409" t="s">
        <v>67</v>
      </c>
      <c r="K45" t="s">
        <v>489</v>
      </c>
      <c r="L45" s="412" t="s">
        <v>490</v>
      </c>
      <c r="M45" s="412">
        <v>25</v>
      </c>
      <c r="N45" s="566"/>
      <c r="O45" s="426">
        <v>1</v>
      </c>
      <c r="BH45" s="280" t="s">
        <v>491</v>
      </c>
      <c r="BI45" s="400" t="s">
        <v>492</v>
      </c>
    </row>
    <row r="46" spans="1:62" x14ac:dyDescent="0.25">
      <c r="A46" s="1" t="s">
        <v>493</v>
      </c>
      <c r="J46" s="409" t="s">
        <v>160</v>
      </c>
      <c r="K46" t="s">
        <v>494</v>
      </c>
      <c r="L46" s="412" t="s">
        <v>495</v>
      </c>
      <c r="M46" s="412">
        <v>26</v>
      </c>
      <c r="N46" s="566"/>
      <c r="O46" s="426">
        <v>1</v>
      </c>
      <c r="BH46" s="280" t="s">
        <v>496</v>
      </c>
      <c r="BI46" s="281" t="s">
        <v>497</v>
      </c>
    </row>
    <row r="47" spans="1:62" x14ac:dyDescent="0.25">
      <c r="A47" s="1" t="s">
        <v>498</v>
      </c>
      <c r="J47" s="406" t="s">
        <v>499</v>
      </c>
      <c r="K47" t="s">
        <v>500</v>
      </c>
      <c r="L47" s="412" t="s">
        <v>501</v>
      </c>
      <c r="M47" s="412">
        <v>1</v>
      </c>
      <c r="N47" s="413" t="s">
        <v>502</v>
      </c>
      <c r="O47" s="426">
        <v>7</v>
      </c>
      <c r="BH47" s="280" t="s">
        <v>503</v>
      </c>
      <c r="BI47" s="279" t="s">
        <v>504</v>
      </c>
    </row>
    <row r="48" spans="1:62" x14ac:dyDescent="0.25">
      <c r="A48" s="1" t="s">
        <v>345</v>
      </c>
      <c r="J48" s="409" t="s">
        <v>505</v>
      </c>
      <c r="K48" t="s">
        <v>506</v>
      </c>
      <c r="L48" s="412" t="s">
        <v>507</v>
      </c>
      <c r="M48" s="412">
        <v>1</v>
      </c>
      <c r="N48" s="413" t="s">
        <v>209</v>
      </c>
      <c r="O48" s="426">
        <v>11</v>
      </c>
      <c r="BH48" s="280" t="s">
        <v>508</v>
      </c>
      <c r="BI48" s="281" t="s">
        <v>509</v>
      </c>
    </row>
    <row r="49" spans="1:61" ht="14.45" customHeight="1" x14ac:dyDescent="0.25">
      <c r="A49" s="1" t="s">
        <v>510</v>
      </c>
      <c r="J49" s="411" t="s">
        <v>511</v>
      </c>
      <c r="K49" t="s">
        <v>512</v>
      </c>
      <c r="L49" s="412" t="s">
        <v>513</v>
      </c>
      <c r="M49" s="412">
        <v>1</v>
      </c>
      <c r="N49" s="413" t="s">
        <v>514</v>
      </c>
      <c r="O49" s="426">
        <v>6</v>
      </c>
      <c r="BH49" s="280" t="s">
        <v>515</v>
      </c>
      <c r="BI49" s="401" t="s">
        <v>516</v>
      </c>
    </row>
    <row r="50" spans="1:61" x14ac:dyDescent="0.25">
      <c r="A50" s="1" t="s">
        <v>517</v>
      </c>
      <c r="O50" s="425">
        <f>SUM(O2:O49)</f>
        <v>147</v>
      </c>
      <c r="BH50" s="280" t="s">
        <v>518</v>
      </c>
    </row>
    <row r="51" spans="1:61" x14ac:dyDescent="0.25">
      <c r="A51" s="1" t="s">
        <v>519</v>
      </c>
      <c r="BH51" s="280" t="s">
        <v>520</v>
      </c>
    </row>
    <row r="52" spans="1:61" x14ac:dyDescent="0.25">
      <c r="BH52" s="280" t="s">
        <v>521</v>
      </c>
    </row>
    <row r="53" spans="1:61" x14ac:dyDescent="0.25">
      <c r="BH53" s="280" t="s">
        <v>522</v>
      </c>
    </row>
    <row r="54" spans="1:61" x14ac:dyDescent="0.25">
      <c r="BH54" s="280" t="s">
        <v>125</v>
      </c>
    </row>
    <row r="55" spans="1:61" x14ac:dyDescent="0.25">
      <c r="BH55" s="280" t="s">
        <v>179</v>
      </c>
    </row>
    <row r="56" spans="1:61" x14ac:dyDescent="0.25">
      <c r="BH56" s="286" t="s">
        <v>523</v>
      </c>
    </row>
    <row r="57" spans="1:61" x14ac:dyDescent="0.25">
      <c r="BH57" s="286" t="s">
        <v>524</v>
      </c>
    </row>
    <row r="58" spans="1:61" x14ac:dyDescent="0.25">
      <c r="BH58" s="286" t="s">
        <v>525</v>
      </c>
    </row>
    <row r="59" spans="1:61" x14ac:dyDescent="0.25">
      <c r="BH59" s="286" t="s">
        <v>69</v>
      </c>
    </row>
    <row r="60" spans="1:61" x14ac:dyDescent="0.25">
      <c r="BH60" s="286" t="s">
        <v>526</v>
      </c>
    </row>
    <row r="61" spans="1:61" x14ac:dyDescent="0.25">
      <c r="BH61" s="286" t="s">
        <v>527</v>
      </c>
    </row>
    <row r="62" spans="1:61" ht="14.45" customHeight="1" x14ac:dyDescent="0.25">
      <c r="BH62" s="286" t="s">
        <v>528</v>
      </c>
    </row>
    <row r="63" spans="1:61" ht="14.45" customHeight="1" x14ac:dyDescent="0.25">
      <c r="BH63" s="286" t="s">
        <v>529</v>
      </c>
    </row>
    <row r="64" spans="1:61" x14ac:dyDescent="0.25">
      <c r="BH64" s="286" t="s">
        <v>530</v>
      </c>
    </row>
    <row r="65" spans="60:60" x14ac:dyDescent="0.25">
      <c r="BH65" s="286" t="s">
        <v>531</v>
      </c>
    </row>
    <row r="66" spans="60:60" x14ac:dyDescent="0.25">
      <c r="BH66" s="286" t="s">
        <v>532</v>
      </c>
    </row>
    <row r="67" spans="60:60" x14ac:dyDescent="0.25">
      <c r="BH67" s="286" t="s">
        <v>533</v>
      </c>
    </row>
    <row r="68" spans="60:60" x14ac:dyDescent="0.25">
      <c r="BH68" s="286" t="s">
        <v>534</v>
      </c>
    </row>
    <row r="69" spans="60:60" x14ac:dyDescent="0.25">
      <c r="BH69" s="286" t="s">
        <v>535</v>
      </c>
    </row>
    <row r="70" spans="60:60" x14ac:dyDescent="0.25">
      <c r="BH70" s="286" t="s">
        <v>536</v>
      </c>
    </row>
    <row r="71" spans="60:60" x14ac:dyDescent="0.25">
      <c r="BH71" s="286" t="s">
        <v>537</v>
      </c>
    </row>
    <row r="72" spans="60:60" x14ac:dyDescent="0.25">
      <c r="BH72" s="286" t="s">
        <v>436</v>
      </c>
    </row>
    <row r="73" spans="60:60" x14ac:dyDescent="0.25">
      <c r="BH73" s="287" t="s">
        <v>505</v>
      </c>
    </row>
    <row r="74" spans="60:60" x14ac:dyDescent="0.25">
      <c r="BH74" s="287" t="s">
        <v>511</v>
      </c>
    </row>
    <row r="75" spans="60:60" x14ac:dyDescent="0.25">
      <c r="BH75" s="281" t="s">
        <v>538</v>
      </c>
    </row>
    <row r="77" spans="60:60" ht="14.45" customHeight="1" x14ac:dyDescent="0.25"/>
    <row r="81" ht="23.45" customHeight="1" x14ac:dyDescent="0.25"/>
    <row r="82" ht="15.6" customHeight="1" x14ac:dyDescent="0.25"/>
  </sheetData>
  <sortState xmlns:xlrd2="http://schemas.microsoft.com/office/spreadsheetml/2017/richdata2" ref="BI39:BI41">
    <sortCondition ref="BI39:BI41"/>
  </sortState>
  <mergeCells count="3">
    <mergeCell ref="N2:N13"/>
    <mergeCell ref="N14:N22"/>
    <mergeCell ref="N23:N4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8"/>
  <sheetViews>
    <sheetView topLeftCell="B13" workbookViewId="0">
      <selection activeCell="L42" sqref="L42"/>
    </sheetView>
  </sheetViews>
  <sheetFormatPr defaultColWidth="8.85546875" defaultRowHeight="12.75" x14ac:dyDescent="0.2"/>
  <cols>
    <col min="1" max="1" width="4.28515625" style="2" customWidth="1"/>
    <col min="2" max="2" width="77.28515625" style="2" bestFit="1" customWidth="1"/>
    <col min="3" max="3" width="5.7109375" style="2" customWidth="1"/>
    <col min="4" max="4" width="9.28515625" style="2" customWidth="1"/>
    <col min="5" max="5" width="10.5703125" style="370" customWidth="1"/>
    <col min="6" max="6" width="18.7109375" style="2" customWidth="1"/>
    <col min="7" max="7" width="4.28515625" style="2" customWidth="1"/>
    <col min="8" max="8" width="11.85546875" style="2" customWidth="1"/>
    <col min="9" max="9" width="4.28515625" style="2" customWidth="1"/>
    <col min="10" max="10" width="62" style="2" customWidth="1"/>
    <col min="11" max="11" width="30.7109375" style="2" customWidth="1"/>
    <col min="12" max="16384" width="8.85546875" style="2"/>
  </cols>
  <sheetData>
    <row r="1" spans="1:11" x14ac:dyDescent="0.2">
      <c r="A1" s="573" t="s">
        <v>539</v>
      </c>
      <c r="B1" s="573"/>
      <c r="C1" s="573"/>
      <c r="D1" s="573"/>
      <c r="E1" s="573"/>
      <c r="F1" s="573"/>
      <c r="J1" s="568" t="s">
        <v>540</v>
      </c>
      <c r="K1" s="2" t="s">
        <v>541</v>
      </c>
    </row>
    <row r="2" spans="1:11" ht="14.45" customHeight="1" x14ac:dyDescent="0.2">
      <c r="A2" s="569" t="s">
        <v>542</v>
      </c>
      <c r="B2" s="569"/>
      <c r="C2" s="569"/>
      <c r="D2" s="569"/>
      <c r="E2" s="569"/>
      <c r="F2" s="569"/>
      <c r="J2" s="568"/>
    </row>
    <row r="3" spans="1:11" x14ac:dyDescent="0.2">
      <c r="A3" s="358" t="s">
        <v>543</v>
      </c>
      <c r="B3" s="358" t="s">
        <v>544</v>
      </c>
      <c r="C3" s="359" t="s">
        <v>545</v>
      </c>
      <c r="D3" s="359" t="s">
        <v>546</v>
      </c>
      <c r="E3" s="360" t="s">
        <v>547</v>
      </c>
      <c r="F3" s="359" t="s">
        <v>548</v>
      </c>
      <c r="H3" s="359" t="s">
        <v>548</v>
      </c>
      <c r="J3" s="568"/>
    </row>
    <row r="4" spans="1:11" ht="15" x14ac:dyDescent="0.25">
      <c r="A4" s="344" t="s">
        <v>549</v>
      </c>
      <c r="B4" s="361" t="s">
        <v>550</v>
      </c>
      <c r="C4" s="362" t="s">
        <v>551</v>
      </c>
      <c r="D4" s="362">
        <v>1</v>
      </c>
      <c r="E4" s="363" t="s">
        <v>552</v>
      </c>
      <c r="F4" s="362" t="s">
        <v>553</v>
      </c>
      <c r="H4" s="362" t="s">
        <v>553</v>
      </c>
      <c r="J4" s="158" t="s">
        <v>42</v>
      </c>
      <c r="K4" t="s">
        <v>554</v>
      </c>
    </row>
    <row r="5" spans="1:11" ht="15" x14ac:dyDescent="0.25">
      <c r="A5" s="344" t="s">
        <v>555</v>
      </c>
      <c r="B5" s="364" t="s">
        <v>556</v>
      </c>
      <c r="C5" s="362" t="s">
        <v>551</v>
      </c>
      <c r="D5" s="362">
        <v>1</v>
      </c>
      <c r="E5" s="363" t="s">
        <v>552</v>
      </c>
      <c r="F5" s="362" t="s">
        <v>553</v>
      </c>
      <c r="H5" s="362" t="s">
        <v>553</v>
      </c>
      <c r="J5" s="345" t="s">
        <v>70</v>
      </c>
      <c r="K5" t="s">
        <v>557</v>
      </c>
    </row>
    <row r="6" spans="1:11" ht="15" x14ac:dyDescent="0.25">
      <c r="A6" s="344" t="s">
        <v>558</v>
      </c>
      <c r="B6" s="364" t="s">
        <v>559</v>
      </c>
      <c r="C6" s="362" t="s">
        <v>551</v>
      </c>
      <c r="D6" s="362">
        <v>1</v>
      </c>
      <c r="E6" s="363" t="s">
        <v>552</v>
      </c>
      <c r="F6" s="362" t="s">
        <v>553</v>
      </c>
      <c r="H6" s="362" t="s">
        <v>553</v>
      </c>
      <c r="J6" s="345" t="s">
        <v>63</v>
      </c>
      <c r="K6" t="s">
        <v>560</v>
      </c>
    </row>
    <row r="7" spans="1:11" ht="14.45" customHeight="1" x14ac:dyDescent="0.25">
      <c r="A7" s="344" t="s">
        <v>561</v>
      </c>
      <c r="B7" s="364" t="s">
        <v>562</v>
      </c>
      <c r="C7" s="362" t="s">
        <v>551</v>
      </c>
      <c r="D7" s="362">
        <v>1</v>
      </c>
      <c r="E7" s="363" t="s">
        <v>552</v>
      </c>
      <c r="F7" s="362" t="s">
        <v>553</v>
      </c>
      <c r="H7" s="362" t="s">
        <v>553</v>
      </c>
      <c r="J7" s="346" t="s">
        <v>60</v>
      </c>
      <c r="K7" t="s">
        <v>563</v>
      </c>
    </row>
    <row r="8" spans="1:11" ht="15" x14ac:dyDescent="0.25">
      <c r="A8" s="344" t="s">
        <v>564</v>
      </c>
      <c r="B8" s="347" t="s">
        <v>565</v>
      </c>
      <c r="C8" s="362" t="s">
        <v>551</v>
      </c>
      <c r="D8" s="362">
        <v>1</v>
      </c>
      <c r="E8" s="363" t="s">
        <v>552</v>
      </c>
      <c r="F8" s="362" t="s">
        <v>553</v>
      </c>
      <c r="H8" s="362" t="s">
        <v>566</v>
      </c>
      <c r="J8" s="346" t="s">
        <v>49</v>
      </c>
      <c r="K8" t="s">
        <v>567</v>
      </c>
    </row>
    <row r="9" spans="1:11" ht="14.45" customHeight="1" x14ac:dyDescent="0.25">
      <c r="A9" s="344" t="s">
        <v>568</v>
      </c>
      <c r="B9" s="365" t="s">
        <v>569</v>
      </c>
      <c r="C9" s="362" t="s">
        <v>551</v>
      </c>
      <c r="D9" s="362">
        <v>1</v>
      </c>
      <c r="E9" s="363" t="s">
        <v>552</v>
      </c>
      <c r="F9" s="362" t="s">
        <v>553</v>
      </c>
      <c r="H9" s="362" t="s">
        <v>566</v>
      </c>
      <c r="J9" s="345" t="s">
        <v>45</v>
      </c>
      <c r="K9" t="s">
        <v>570</v>
      </c>
    </row>
    <row r="10" spans="1:11" ht="15" x14ac:dyDescent="0.25">
      <c r="A10" s="344" t="s">
        <v>571</v>
      </c>
      <c r="B10" s="347" t="s">
        <v>572</v>
      </c>
      <c r="C10" s="362" t="s">
        <v>551</v>
      </c>
      <c r="D10" s="362">
        <v>1</v>
      </c>
      <c r="E10" s="363" t="s">
        <v>552</v>
      </c>
      <c r="F10" s="362" t="s">
        <v>553</v>
      </c>
      <c r="H10" s="362" t="s">
        <v>566</v>
      </c>
      <c r="J10" s="158" t="s">
        <v>42</v>
      </c>
      <c r="K10" t="s">
        <v>573</v>
      </c>
    </row>
    <row r="11" spans="1:11" ht="15" x14ac:dyDescent="0.25">
      <c r="K11"/>
    </row>
    <row r="12" spans="1:11" ht="13.9" customHeight="1" x14ac:dyDescent="0.2">
      <c r="A12" s="569" t="s">
        <v>574</v>
      </c>
      <c r="B12" s="569"/>
      <c r="C12" s="569"/>
      <c r="D12" s="569"/>
      <c r="E12" s="569"/>
      <c r="F12" s="569"/>
    </row>
    <row r="13" spans="1:11" ht="13.9" customHeight="1" x14ac:dyDescent="0.2">
      <c r="A13" s="358" t="s">
        <v>543</v>
      </c>
      <c r="B13" s="358" t="s">
        <v>544</v>
      </c>
      <c r="C13" s="359" t="s">
        <v>545</v>
      </c>
      <c r="D13" s="359" t="s">
        <v>546</v>
      </c>
      <c r="E13" s="360" t="s">
        <v>547</v>
      </c>
      <c r="F13" s="359" t="s">
        <v>548</v>
      </c>
      <c r="H13" s="359" t="s">
        <v>548</v>
      </c>
    </row>
    <row r="14" spans="1:11" ht="13.9" customHeight="1" x14ac:dyDescent="0.25">
      <c r="A14" s="344" t="s">
        <v>549</v>
      </c>
      <c r="B14" s="346" t="s">
        <v>575</v>
      </c>
      <c r="C14" s="362" t="s">
        <v>551</v>
      </c>
      <c r="D14" s="362">
        <v>2</v>
      </c>
      <c r="E14" s="363" t="s">
        <v>576</v>
      </c>
      <c r="F14" s="362" t="s">
        <v>577</v>
      </c>
      <c r="H14" s="362" t="s">
        <v>578</v>
      </c>
      <c r="J14" s="345" t="s">
        <v>63</v>
      </c>
      <c r="K14" t="s">
        <v>579</v>
      </c>
    </row>
    <row r="15" spans="1:11" ht="13.9" customHeight="1" x14ac:dyDescent="0.25">
      <c r="A15" s="344" t="s">
        <v>555</v>
      </c>
      <c r="B15" s="2" t="s">
        <v>580</v>
      </c>
      <c r="C15" s="362" t="s">
        <v>551</v>
      </c>
      <c r="D15" s="362">
        <v>2</v>
      </c>
      <c r="E15" s="363" t="s">
        <v>581</v>
      </c>
      <c r="F15" s="362" t="s">
        <v>582</v>
      </c>
      <c r="H15" s="362" t="s">
        <v>582</v>
      </c>
      <c r="J15" s="374" t="s">
        <v>583</v>
      </c>
      <c r="K15" t="s">
        <v>584</v>
      </c>
    </row>
    <row r="16" spans="1:11" ht="13.9" customHeight="1" x14ac:dyDescent="0.25">
      <c r="A16" s="344" t="s">
        <v>558</v>
      </c>
      <c r="B16" s="346" t="s">
        <v>585</v>
      </c>
      <c r="C16" s="362" t="s">
        <v>551</v>
      </c>
      <c r="D16" s="362">
        <v>2</v>
      </c>
      <c r="E16" s="363" t="s">
        <v>576</v>
      </c>
      <c r="F16" s="362" t="s">
        <v>577</v>
      </c>
      <c r="H16" s="362" t="s">
        <v>577</v>
      </c>
      <c r="J16" s="345" t="s">
        <v>70</v>
      </c>
      <c r="K16" t="s">
        <v>586</v>
      </c>
    </row>
    <row r="17" spans="1:11" ht="13.9" customHeight="1" x14ac:dyDescent="0.25">
      <c r="A17" s="344" t="s">
        <v>561</v>
      </c>
      <c r="B17" s="403" t="s">
        <v>587</v>
      </c>
      <c r="C17" s="362" t="s">
        <v>551</v>
      </c>
      <c r="D17" s="362">
        <v>2</v>
      </c>
      <c r="E17" s="363" t="s">
        <v>576</v>
      </c>
      <c r="F17" s="362" t="s">
        <v>577</v>
      </c>
      <c r="H17" s="362" t="s">
        <v>577</v>
      </c>
      <c r="J17" s="158" t="s">
        <v>42</v>
      </c>
      <c r="K17" t="s">
        <v>588</v>
      </c>
    </row>
    <row r="18" spans="1:11" ht="13.9" customHeight="1" x14ac:dyDescent="0.25">
      <c r="A18" s="344" t="s">
        <v>564</v>
      </c>
      <c r="B18" s="361" t="s">
        <v>589</v>
      </c>
      <c r="C18" s="362" t="s">
        <v>551</v>
      </c>
      <c r="D18" s="362">
        <v>2</v>
      </c>
      <c r="E18" s="363" t="s">
        <v>576</v>
      </c>
      <c r="F18" s="362" t="s">
        <v>577</v>
      </c>
      <c r="H18" s="362" t="s">
        <v>577</v>
      </c>
      <c r="J18" s="158" t="s">
        <v>42</v>
      </c>
      <c r="K18" t="s">
        <v>590</v>
      </c>
    </row>
    <row r="19" spans="1:11" ht="13.9" customHeight="1" x14ac:dyDescent="0.25">
      <c r="A19" s="344" t="s">
        <v>568</v>
      </c>
      <c r="B19" s="347" t="s">
        <v>591</v>
      </c>
      <c r="C19" s="362" t="s">
        <v>551</v>
      </c>
      <c r="D19" s="362">
        <v>2</v>
      </c>
      <c r="E19" s="363" t="s">
        <v>576</v>
      </c>
      <c r="F19" s="362" t="s">
        <v>577</v>
      </c>
      <c r="H19" s="362" t="s">
        <v>578</v>
      </c>
      <c r="J19" s="158" t="s">
        <v>42</v>
      </c>
      <c r="K19" t="s">
        <v>592</v>
      </c>
    </row>
    <row r="20" spans="1:11" ht="13.9" customHeight="1" x14ac:dyDescent="0.25">
      <c r="A20" s="344" t="s">
        <v>571</v>
      </c>
      <c r="B20" s="424" t="s">
        <v>593</v>
      </c>
      <c r="C20" s="362" t="s">
        <v>551</v>
      </c>
      <c r="D20" s="362">
        <v>2</v>
      </c>
      <c r="E20" s="363" t="s">
        <v>576</v>
      </c>
      <c r="F20" s="362" t="s">
        <v>577</v>
      </c>
      <c r="H20" s="362" t="s">
        <v>578</v>
      </c>
      <c r="J20" s="158" t="s">
        <v>42</v>
      </c>
      <c r="K20" t="s">
        <v>594</v>
      </c>
    </row>
    <row r="21" spans="1:11" ht="13.9" customHeight="1" x14ac:dyDescent="0.25">
      <c r="A21" s="344" t="s">
        <v>595</v>
      </c>
      <c r="B21" s="347" t="s">
        <v>596</v>
      </c>
      <c r="C21" s="362" t="s">
        <v>551</v>
      </c>
      <c r="D21" s="362">
        <v>2</v>
      </c>
      <c r="E21" s="363" t="s">
        <v>576</v>
      </c>
      <c r="F21" s="362" t="s">
        <v>577</v>
      </c>
      <c r="H21" s="362" t="s">
        <v>578</v>
      </c>
      <c r="J21" s="158" t="s">
        <v>42</v>
      </c>
      <c r="K21" t="s">
        <v>597</v>
      </c>
    </row>
    <row r="22" spans="1:11" ht="13.9" customHeight="1" x14ac:dyDescent="0.25">
      <c r="A22" s="344" t="s">
        <v>598</v>
      </c>
      <c r="B22" s="347" t="s">
        <v>599</v>
      </c>
      <c r="C22" s="362" t="s">
        <v>551</v>
      </c>
      <c r="D22" s="362">
        <v>2</v>
      </c>
      <c r="E22" s="363" t="s">
        <v>576</v>
      </c>
      <c r="F22" s="362" t="s">
        <v>577</v>
      </c>
      <c r="H22" s="362" t="s">
        <v>578</v>
      </c>
      <c r="J22" s="158" t="s">
        <v>42</v>
      </c>
      <c r="K22" t="s">
        <v>600</v>
      </c>
    </row>
    <row r="23" spans="1:11" ht="15" x14ac:dyDescent="0.25">
      <c r="A23" s="344" t="s">
        <v>601</v>
      </c>
      <c r="B23" s="347" t="s">
        <v>602</v>
      </c>
      <c r="C23" s="362" t="s">
        <v>551</v>
      </c>
      <c r="D23" s="362">
        <v>2</v>
      </c>
      <c r="E23" s="363" t="s">
        <v>576</v>
      </c>
      <c r="F23" s="362" t="s">
        <v>577</v>
      </c>
      <c r="H23" s="362" t="s">
        <v>578</v>
      </c>
      <c r="J23" s="158" t="s">
        <v>42</v>
      </c>
      <c r="K23" t="s">
        <v>603</v>
      </c>
    </row>
    <row r="25" spans="1:11" ht="13.9" customHeight="1" x14ac:dyDescent="0.2">
      <c r="A25" s="569" t="s">
        <v>604</v>
      </c>
      <c r="B25" s="569"/>
      <c r="C25" s="569"/>
      <c r="D25" s="569"/>
      <c r="E25" s="569"/>
      <c r="F25" s="569"/>
    </row>
    <row r="26" spans="1:11" ht="13.9" customHeight="1" x14ac:dyDescent="0.2">
      <c r="A26" s="358" t="s">
        <v>543</v>
      </c>
      <c r="B26" s="358" t="s">
        <v>544</v>
      </c>
      <c r="C26" s="359" t="s">
        <v>545</v>
      </c>
      <c r="D26" s="359" t="s">
        <v>546</v>
      </c>
      <c r="E26" s="360" t="s">
        <v>547</v>
      </c>
      <c r="F26" s="359" t="s">
        <v>548</v>
      </c>
    </row>
    <row r="27" spans="1:11" ht="13.9" customHeight="1" x14ac:dyDescent="0.25">
      <c r="A27" s="344" t="s">
        <v>549</v>
      </c>
      <c r="B27" s="347" t="s">
        <v>605</v>
      </c>
      <c r="C27" s="362" t="s">
        <v>606</v>
      </c>
      <c r="D27" s="362">
        <v>3</v>
      </c>
      <c r="E27" s="363" t="s">
        <v>581</v>
      </c>
      <c r="F27" s="362" t="s">
        <v>582</v>
      </c>
      <c r="H27" s="362" t="s">
        <v>607</v>
      </c>
      <c r="J27" s="158" t="s">
        <v>42</v>
      </c>
      <c r="K27" t="s">
        <v>608</v>
      </c>
    </row>
    <row r="28" spans="1:11" ht="13.9" customHeight="1" x14ac:dyDescent="0.25">
      <c r="A28" s="344" t="s">
        <v>555</v>
      </c>
      <c r="B28" s="346" t="s">
        <v>609</v>
      </c>
      <c r="C28" s="362" t="s">
        <v>606</v>
      </c>
      <c r="D28" s="362">
        <v>3</v>
      </c>
      <c r="E28" s="363" t="s">
        <v>576</v>
      </c>
      <c r="F28" s="362" t="s">
        <v>577</v>
      </c>
      <c r="H28" s="362" t="s">
        <v>578</v>
      </c>
      <c r="J28" s="345" t="s">
        <v>63</v>
      </c>
      <c r="K28" t="s">
        <v>610</v>
      </c>
    </row>
    <row r="29" spans="1:11" ht="13.9" customHeight="1" x14ac:dyDescent="0.25">
      <c r="A29" s="344" t="s">
        <v>558</v>
      </c>
      <c r="B29" s="346" t="s">
        <v>611</v>
      </c>
      <c r="C29" s="362" t="s">
        <v>606</v>
      </c>
      <c r="D29" s="362">
        <v>3</v>
      </c>
      <c r="E29" s="363" t="s">
        <v>576</v>
      </c>
      <c r="F29" s="362" t="s">
        <v>577</v>
      </c>
      <c r="H29" s="362" t="s">
        <v>578</v>
      </c>
      <c r="J29" s="345" t="s">
        <v>119</v>
      </c>
      <c r="K29" t="s">
        <v>612</v>
      </c>
    </row>
    <row r="30" spans="1:11" ht="13.9" customHeight="1" x14ac:dyDescent="0.25">
      <c r="A30" s="344" t="s">
        <v>561</v>
      </c>
      <c r="B30" s="347" t="s">
        <v>613</v>
      </c>
      <c r="C30" s="362" t="s">
        <v>606</v>
      </c>
      <c r="D30" s="362">
        <v>3</v>
      </c>
      <c r="E30" s="363" t="s">
        <v>576</v>
      </c>
      <c r="F30" s="362" t="s">
        <v>577</v>
      </c>
      <c r="H30" s="362" t="s">
        <v>577</v>
      </c>
      <c r="J30" s="158" t="s">
        <v>42</v>
      </c>
      <c r="K30" t="s">
        <v>614</v>
      </c>
    </row>
    <row r="31" spans="1:11" ht="13.9" customHeight="1" x14ac:dyDescent="0.25">
      <c r="A31" s="344" t="s">
        <v>564</v>
      </c>
      <c r="B31" s="347" t="s">
        <v>615</v>
      </c>
      <c r="C31" s="362" t="s">
        <v>606</v>
      </c>
      <c r="D31" s="362">
        <v>3</v>
      </c>
      <c r="E31" s="363" t="s">
        <v>576</v>
      </c>
      <c r="F31" s="362" t="s">
        <v>577</v>
      </c>
      <c r="H31" s="362" t="s">
        <v>577</v>
      </c>
      <c r="J31" s="158" t="s">
        <v>42</v>
      </c>
      <c r="K31" t="s">
        <v>616</v>
      </c>
    </row>
    <row r="32" spans="1:11" ht="13.9" customHeight="1" x14ac:dyDescent="0.25">
      <c r="A32" s="344" t="s">
        <v>568</v>
      </c>
      <c r="B32" s="347" t="s">
        <v>617</v>
      </c>
      <c r="C32" s="362" t="s">
        <v>606</v>
      </c>
      <c r="D32" s="362">
        <v>3</v>
      </c>
      <c r="E32" s="363" t="s">
        <v>576</v>
      </c>
      <c r="F32" s="362" t="s">
        <v>577</v>
      </c>
      <c r="H32" s="362" t="s">
        <v>578</v>
      </c>
      <c r="J32" s="158" t="s">
        <v>42</v>
      </c>
      <c r="K32" t="s">
        <v>618</v>
      </c>
    </row>
    <row r="33" spans="1:11" ht="13.9" customHeight="1" x14ac:dyDescent="0.25">
      <c r="A33" s="420" t="s">
        <v>571</v>
      </c>
      <c r="B33" s="347" t="s">
        <v>619</v>
      </c>
      <c r="C33" s="421" t="s">
        <v>606</v>
      </c>
      <c r="D33" s="421">
        <v>3</v>
      </c>
      <c r="E33" s="422" t="s">
        <v>576</v>
      </c>
      <c r="F33" s="421" t="s">
        <v>577</v>
      </c>
      <c r="H33" s="362" t="s">
        <v>577</v>
      </c>
      <c r="J33" s="158" t="s">
        <v>42</v>
      </c>
      <c r="K33" t="s">
        <v>620</v>
      </c>
    </row>
    <row r="34" spans="1:11" ht="13.9" customHeight="1" x14ac:dyDescent="0.25">
      <c r="A34" s="344" t="s">
        <v>595</v>
      </c>
      <c r="B34" s="347" t="s">
        <v>550</v>
      </c>
      <c r="C34" s="362" t="s">
        <v>606</v>
      </c>
      <c r="D34" s="362">
        <v>3</v>
      </c>
      <c r="E34" s="363" t="s">
        <v>576</v>
      </c>
      <c r="F34" s="362" t="s">
        <v>577</v>
      </c>
      <c r="H34" s="362" t="s">
        <v>577</v>
      </c>
      <c r="J34" s="158" t="s">
        <v>42</v>
      </c>
      <c r="K34" t="s">
        <v>621</v>
      </c>
    </row>
    <row r="35" spans="1:11" ht="13.9" customHeight="1" x14ac:dyDescent="0.25">
      <c r="A35" s="344" t="s">
        <v>598</v>
      </c>
      <c r="B35" s="158"/>
      <c r="C35" s="362" t="s">
        <v>606</v>
      </c>
      <c r="D35" s="362">
        <v>3</v>
      </c>
      <c r="E35" s="363" t="s">
        <v>576</v>
      </c>
      <c r="F35" s="362" t="s">
        <v>577</v>
      </c>
      <c r="H35" s="362" t="s">
        <v>577</v>
      </c>
      <c r="J35" s="158" t="s">
        <v>42</v>
      </c>
      <c r="K35" t="s">
        <v>622</v>
      </c>
    </row>
    <row r="36" spans="1:11" x14ac:dyDescent="0.2">
      <c r="A36" s="348"/>
      <c r="B36" s="361"/>
      <c r="C36" s="366"/>
      <c r="D36" s="366"/>
      <c r="E36" s="367"/>
      <c r="F36" s="366"/>
    </row>
    <row r="37" spans="1:11" ht="30" customHeight="1" x14ac:dyDescent="0.2">
      <c r="A37" s="570" t="s">
        <v>623</v>
      </c>
      <c r="B37" s="571"/>
      <c r="C37" s="571"/>
      <c r="D37" s="571"/>
      <c r="E37" s="571"/>
      <c r="F37" s="572"/>
    </row>
    <row r="38" spans="1:11" ht="13.9" customHeight="1" x14ac:dyDescent="0.2">
      <c r="A38" s="358" t="s">
        <v>543</v>
      </c>
      <c r="B38" s="358" t="s">
        <v>544</v>
      </c>
      <c r="C38" s="359" t="s">
        <v>545</v>
      </c>
      <c r="D38" s="359" t="s">
        <v>546</v>
      </c>
      <c r="E38" s="360" t="s">
        <v>547</v>
      </c>
      <c r="F38" s="359" t="s">
        <v>548</v>
      </c>
    </row>
    <row r="39" spans="1:11" ht="13.9" customHeight="1" x14ac:dyDescent="0.25">
      <c r="A39" s="344" t="s">
        <v>549</v>
      </c>
      <c r="B39" s="284" t="s">
        <v>872</v>
      </c>
      <c r="C39" s="368" t="s">
        <v>606</v>
      </c>
      <c r="D39" s="368">
        <v>4</v>
      </c>
      <c r="E39" s="369" t="s">
        <v>581</v>
      </c>
      <c r="F39" s="368" t="s">
        <v>582</v>
      </c>
      <c r="H39" s="368" t="s">
        <v>582</v>
      </c>
      <c r="J39" s="158" t="s">
        <v>873</v>
      </c>
      <c r="K39" t="s">
        <v>624</v>
      </c>
    </row>
    <row r="40" spans="1:11" ht="13.9" customHeight="1" x14ac:dyDescent="0.25">
      <c r="A40" s="344" t="s">
        <v>555</v>
      </c>
      <c r="B40" s="346" t="s">
        <v>520</v>
      </c>
      <c r="C40" s="362" t="s">
        <v>606</v>
      </c>
      <c r="D40" s="362">
        <v>4</v>
      </c>
      <c r="E40" s="363" t="s">
        <v>576</v>
      </c>
      <c r="F40" s="362" t="s">
        <v>577</v>
      </c>
      <c r="H40" s="362" t="s">
        <v>577</v>
      </c>
      <c r="J40" s="345" t="s">
        <v>140</v>
      </c>
      <c r="K40" t="s">
        <v>625</v>
      </c>
    </row>
    <row r="41" spans="1:11" ht="13.9" customHeight="1" x14ac:dyDescent="0.25">
      <c r="A41" s="344" t="s">
        <v>558</v>
      </c>
      <c r="B41" s="55" t="s">
        <v>619</v>
      </c>
      <c r="C41" s="362" t="s">
        <v>606</v>
      </c>
      <c r="D41" s="362">
        <v>4</v>
      </c>
      <c r="E41" s="363" t="s">
        <v>576</v>
      </c>
      <c r="F41" s="362" t="s">
        <v>577</v>
      </c>
      <c r="H41" s="362" t="s">
        <v>577</v>
      </c>
      <c r="J41" s="158" t="s">
        <v>42</v>
      </c>
      <c r="K41" t="s">
        <v>626</v>
      </c>
    </row>
    <row r="42" spans="1:11" ht="15.6" customHeight="1" x14ac:dyDescent="0.25">
      <c r="A42" s="344" t="s">
        <v>561</v>
      </c>
      <c r="B42" s="364" t="s">
        <v>627</v>
      </c>
      <c r="C42" s="362" t="s">
        <v>606</v>
      </c>
      <c r="D42" s="362">
        <v>4</v>
      </c>
      <c r="E42" s="363" t="s">
        <v>576</v>
      </c>
      <c r="F42" s="362" t="s">
        <v>577</v>
      </c>
      <c r="H42" s="362" t="s">
        <v>577</v>
      </c>
      <c r="J42" s="158" t="s">
        <v>42</v>
      </c>
      <c r="K42" t="s">
        <v>628</v>
      </c>
    </row>
    <row r="43" spans="1:11" ht="13.9" customHeight="1" x14ac:dyDescent="0.25">
      <c r="A43" s="344" t="s">
        <v>564</v>
      </c>
      <c r="B43" s="347" t="s">
        <v>629</v>
      </c>
      <c r="C43" s="362" t="s">
        <v>606</v>
      </c>
      <c r="D43" s="362">
        <v>4</v>
      </c>
      <c r="E43" s="363" t="s">
        <v>576</v>
      </c>
      <c r="F43" s="362" t="s">
        <v>577</v>
      </c>
      <c r="H43" s="362" t="s">
        <v>578</v>
      </c>
      <c r="J43" s="158" t="s">
        <v>42</v>
      </c>
      <c r="K43" t="s">
        <v>630</v>
      </c>
    </row>
    <row r="44" spans="1:11" ht="13.9" customHeight="1" x14ac:dyDescent="0.25">
      <c r="A44" s="344" t="s">
        <v>568</v>
      </c>
      <c r="B44" s="346" t="s">
        <v>631</v>
      </c>
      <c r="C44" s="362" t="s">
        <v>606</v>
      </c>
      <c r="D44" s="362">
        <v>4</v>
      </c>
      <c r="E44" s="363" t="s">
        <v>581</v>
      </c>
      <c r="F44" s="362" t="s">
        <v>577</v>
      </c>
      <c r="H44" s="362" t="s">
        <v>607</v>
      </c>
      <c r="J44" s="158" t="s">
        <v>42</v>
      </c>
      <c r="K44" t="s">
        <v>632</v>
      </c>
    </row>
    <row r="46" spans="1:11" ht="13.9" customHeight="1" x14ac:dyDescent="0.2">
      <c r="A46" s="569" t="s">
        <v>633</v>
      </c>
      <c r="B46" s="569"/>
      <c r="C46" s="569"/>
      <c r="D46" s="569"/>
      <c r="E46" s="569"/>
      <c r="F46" s="569"/>
    </row>
    <row r="47" spans="1:11" ht="13.9" customHeight="1" x14ac:dyDescent="0.2">
      <c r="A47" s="358" t="s">
        <v>543</v>
      </c>
      <c r="B47" s="358" t="s">
        <v>544</v>
      </c>
      <c r="C47" s="359" t="s">
        <v>545</v>
      </c>
      <c r="D47" s="359" t="s">
        <v>546</v>
      </c>
      <c r="E47" s="360" t="s">
        <v>547</v>
      </c>
      <c r="F47" s="359" t="s">
        <v>548</v>
      </c>
    </row>
    <row r="48" spans="1:11" ht="13.9" customHeight="1" x14ac:dyDescent="0.25">
      <c r="A48" s="344" t="s">
        <v>549</v>
      </c>
      <c r="B48" s="357" t="s">
        <v>634</v>
      </c>
      <c r="C48" s="362" t="s">
        <v>635</v>
      </c>
      <c r="D48" s="362">
        <v>5</v>
      </c>
      <c r="E48" s="363" t="s">
        <v>576</v>
      </c>
      <c r="F48" s="362" t="s">
        <v>577</v>
      </c>
      <c r="H48" s="362" t="s">
        <v>577</v>
      </c>
      <c r="J48" s="346" t="s">
        <v>157</v>
      </c>
      <c r="K48" t="s">
        <v>636</v>
      </c>
    </row>
    <row r="49" spans="1:11" ht="13.9" customHeight="1" x14ac:dyDescent="0.25">
      <c r="A49" s="344" t="s">
        <v>555</v>
      </c>
      <c r="B49" s="346" t="s">
        <v>637</v>
      </c>
      <c r="C49" s="362" t="s">
        <v>635</v>
      </c>
      <c r="D49" s="362">
        <v>5</v>
      </c>
      <c r="E49" s="363" t="s">
        <v>576</v>
      </c>
      <c r="F49" s="362" t="s">
        <v>577</v>
      </c>
      <c r="H49" s="362" t="s">
        <v>578</v>
      </c>
      <c r="J49" s="345" t="s">
        <v>83</v>
      </c>
      <c r="K49" t="s">
        <v>638</v>
      </c>
    </row>
    <row r="50" spans="1:11" ht="13.9" customHeight="1" x14ac:dyDescent="0.25">
      <c r="A50" s="344" t="s">
        <v>558</v>
      </c>
      <c r="B50" s="346" t="s">
        <v>496</v>
      </c>
      <c r="C50" s="362" t="s">
        <v>635</v>
      </c>
      <c r="D50" s="362">
        <v>5</v>
      </c>
      <c r="E50" s="363" t="s">
        <v>576</v>
      </c>
      <c r="F50" s="362" t="s">
        <v>577</v>
      </c>
      <c r="H50" s="362" t="s">
        <v>577</v>
      </c>
      <c r="J50" s="345" t="s">
        <v>155</v>
      </c>
      <c r="K50" t="s">
        <v>639</v>
      </c>
    </row>
    <row r="51" spans="1:11" ht="13.9" customHeight="1" x14ac:dyDescent="0.25">
      <c r="A51" s="344" t="s">
        <v>561</v>
      </c>
      <c r="B51" s="346" t="s">
        <v>531</v>
      </c>
      <c r="C51" s="362" t="s">
        <v>635</v>
      </c>
      <c r="D51" s="362">
        <v>5</v>
      </c>
      <c r="E51" s="363" t="s">
        <v>576</v>
      </c>
      <c r="F51" s="362" t="s">
        <v>577</v>
      </c>
      <c r="H51" s="362" t="s">
        <v>577</v>
      </c>
      <c r="J51" s="345" t="s">
        <v>119</v>
      </c>
      <c r="K51" t="s">
        <v>640</v>
      </c>
    </row>
    <row r="52" spans="1:11" ht="13.9" customHeight="1" x14ac:dyDescent="0.25">
      <c r="A52" s="344" t="s">
        <v>564</v>
      </c>
      <c r="B52" s="371" t="s">
        <v>641</v>
      </c>
      <c r="C52" s="362" t="s">
        <v>635</v>
      </c>
      <c r="D52" s="362">
        <v>5</v>
      </c>
      <c r="E52" s="363" t="s">
        <v>576</v>
      </c>
      <c r="F52" s="362" t="s">
        <v>577</v>
      </c>
      <c r="H52" s="362" t="s">
        <v>577</v>
      </c>
      <c r="J52" s="399" t="s">
        <v>642</v>
      </c>
      <c r="K52" t="s">
        <v>643</v>
      </c>
    </row>
    <row r="53" spans="1:11" ht="13.9" customHeight="1" x14ac:dyDescent="0.25">
      <c r="A53" s="344" t="s">
        <v>568</v>
      </c>
      <c r="B53" s="346" t="s">
        <v>644</v>
      </c>
      <c r="C53" s="362" t="s">
        <v>635</v>
      </c>
      <c r="D53" s="362">
        <v>5</v>
      </c>
      <c r="E53" s="363" t="s">
        <v>576</v>
      </c>
      <c r="F53" s="362" t="s">
        <v>577</v>
      </c>
      <c r="H53" s="362" t="s">
        <v>577</v>
      </c>
      <c r="J53" s="158" t="s">
        <v>42</v>
      </c>
      <c r="K53" t="s">
        <v>645</v>
      </c>
    </row>
    <row r="54" spans="1:11" ht="13.9" customHeight="1" x14ac:dyDescent="0.25">
      <c r="A54" s="344" t="s">
        <v>571</v>
      </c>
      <c r="B54" s="346" t="s">
        <v>646</v>
      </c>
      <c r="C54" s="362" t="s">
        <v>635</v>
      </c>
      <c r="D54" s="362">
        <v>5</v>
      </c>
      <c r="E54" s="363" t="s">
        <v>581</v>
      </c>
      <c r="F54" s="362" t="s">
        <v>577</v>
      </c>
      <c r="H54" s="362" t="s">
        <v>577</v>
      </c>
      <c r="J54" s="345" t="s">
        <v>647</v>
      </c>
      <c r="K54" t="s">
        <v>648</v>
      </c>
    </row>
    <row r="55" spans="1:11" ht="13.9" customHeight="1" x14ac:dyDescent="0.25">
      <c r="A55" s="344" t="s">
        <v>595</v>
      </c>
      <c r="B55" s="346" t="s">
        <v>649</v>
      </c>
      <c r="C55" s="362" t="s">
        <v>635</v>
      </c>
      <c r="D55" s="362">
        <v>5</v>
      </c>
      <c r="E55" s="363" t="s">
        <v>576</v>
      </c>
      <c r="F55" s="362" t="s">
        <v>577</v>
      </c>
      <c r="H55" s="362" t="s">
        <v>577</v>
      </c>
      <c r="J55" s="158" t="s">
        <v>45</v>
      </c>
      <c r="K55" t="s">
        <v>650</v>
      </c>
    </row>
    <row r="56" spans="1:11" ht="13.9" customHeight="1" x14ac:dyDescent="0.25">
      <c r="A56" s="344" t="s">
        <v>598</v>
      </c>
      <c r="B56" s="347" t="s">
        <v>550</v>
      </c>
      <c r="C56" s="362" t="s">
        <v>635</v>
      </c>
      <c r="D56" s="362">
        <v>5</v>
      </c>
      <c r="E56" s="363" t="s">
        <v>576</v>
      </c>
      <c r="F56" s="362" t="s">
        <v>577</v>
      </c>
      <c r="H56" s="362" t="s">
        <v>577</v>
      </c>
      <c r="J56" s="158" t="s">
        <v>42</v>
      </c>
      <c r="K56" t="s">
        <v>651</v>
      </c>
    </row>
    <row r="58" spans="1:11" ht="13.9" customHeight="1" x14ac:dyDescent="0.2">
      <c r="A58" s="569" t="s">
        <v>652</v>
      </c>
      <c r="B58" s="569"/>
      <c r="C58" s="569"/>
      <c r="D58" s="569"/>
      <c r="E58" s="569"/>
      <c r="F58" s="569"/>
    </row>
    <row r="59" spans="1:11" ht="13.9" customHeight="1" x14ac:dyDescent="0.2">
      <c r="A59" s="358" t="s">
        <v>543</v>
      </c>
      <c r="B59" s="358" t="s">
        <v>544</v>
      </c>
      <c r="C59" s="359" t="s">
        <v>545</v>
      </c>
      <c r="D59" s="359" t="s">
        <v>546</v>
      </c>
      <c r="E59" s="360" t="s">
        <v>547</v>
      </c>
      <c r="F59" s="359" t="s">
        <v>548</v>
      </c>
    </row>
    <row r="60" spans="1:11" ht="13.9" customHeight="1" x14ac:dyDescent="0.25">
      <c r="A60" s="344" t="s">
        <v>549</v>
      </c>
      <c r="B60" s="346" t="s">
        <v>521</v>
      </c>
      <c r="C60" s="362" t="s">
        <v>635</v>
      </c>
      <c r="D60" s="362">
        <v>6</v>
      </c>
      <c r="E60" s="363" t="s">
        <v>552</v>
      </c>
      <c r="F60" s="362" t="s">
        <v>553</v>
      </c>
      <c r="H60" s="362" t="s">
        <v>553</v>
      </c>
      <c r="J60" s="345" t="s">
        <v>171</v>
      </c>
      <c r="K60" t="s">
        <v>653</v>
      </c>
    </row>
    <row r="61" spans="1:11" ht="13.9" customHeight="1" x14ac:dyDescent="0.25">
      <c r="A61" s="344" t="s">
        <v>555</v>
      </c>
      <c r="B61" s="373" t="s">
        <v>654</v>
      </c>
      <c r="C61" s="362" t="s">
        <v>635</v>
      </c>
      <c r="D61" s="362">
        <v>6</v>
      </c>
      <c r="E61" s="363" t="s">
        <v>552</v>
      </c>
      <c r="F61" s="362" t="s">
        <v>553</v>
      </c>
      <c r="H61" s="362" t="s">
        <v>553</v>
      </c>
      <c r="J61" s="345" t="s">
        <v>583</v>
      </c>
      <c r="K61" t="s">
        <v>655</v>
      </c>
    </row>
    <row r="62" spans="1:11" ht="13.9" customHeight="1" x14ac:dyDescent="0.25">
      <c r="A62" s="344" t="s">
        <v>558</v>
      </c>
      <c r="B62" s="371" t="s">
        <v>656</v>
      </c>
      <c r="C62" s="362" t="s">
        <v>635</v>
      </c>
      <c r="D62" s="362">
        <v>6</v>
      </c>
      <c r="E62" s="363" t="s">
        <v>552</v>
      </c>
      <c r="F62" s="362" t="s">
        <v>553</v>
      </c>
      <c r="H62" s="362" t="s">
        <v>553</v>
      </c>
      <c r="J62" s="372" t="s">
        <v>173</v>
      </c>
      <c r="K62" t="s">
        <v>657</v>
      </c>
    </row>
    <row r="63" spans="1:11" ht="13.9" customHeight="1" x14ac:dyDescent="0.25">
      <c r="A63" s="344" t="s">
        <v>561</v>
      </c>
      <c r="B63" s="357" t="s">
        <v>658</v>
      </c>
      <c r="C63" s="362" t="s">
        <v>635</v>
      </c>
      <c r="D63" s="362">
        <v>6</v>
      </c>
      <c r="E63" s="363" t="s">
        <v>552</v>
      </c>
      <c r="F63" s="362" t="s">
        <v>553</v>
      </c>
      <c r="H63" s="362" t="s">
        <v>659</v>
      </c>
      <c r="J63" s="346" t="s">
        <v>157</v>
      </c>
      <c r="K63" t="s">
        <v>660</v>
      </c>
    </row>
    <row r="64" spans="1:11" ht="13.9" customHeight="1" x14ac:dyDescent="0.25">
      <c r="A64" s="344" t="s">
        <v>564</v>
      </c>
      <c r="B64" s="346" t="s">
        <v>661</v>
      </c>
      <c r="C64" s="362" t="s">
        <v>635</v>
      </c>
      <c r="D64" s="362">
        <v>6</v>
      </c>
      <c r="E64" s="363" t="s">
        <v>552</v>
      </c>
      <c r="F64" s="362" t="s">
        <v>553</v>
      </c>
      <c r="H64" s="362" t="s">
        <v>553</v>
      </c>
      <c r="J64" s="158" t="s">
        <v>42</v>
      </c>
      <c r="K64" t="s">
        <v>662</v>
      </c>
    </row>
    <row r="65" spans="1:11" ht="13.9" customHeight="1" x14ac:dyDescent="0.25">
      <c r="A65" s="344" t="s">
        <v>568</v>
      </c>
      <c r="B65" s="346" t="s">
        <v>663</v>
      </c>
      <c r="C65" s="362" t="s">
        <v>635</v>
      </c>
      <c r="D65" s="362">
        <v>6</v>
      </c>
      <c r="E65" s="363" t="s">
        <v>552</v>
      </c>
      <c r="F65" s="362" t="s">
        <v>553</v>
      </c>
      <c r="H65" s="362" t="s">
        <v>566</v>
      </c>
      <c r="J65" s="345" t="s">
        <v>45</v>
      </c>
      <c r="K65" t="s">
        <v>664</v>
      </c>
    </row>
    <row r="66" spans="1:11" ht="13.9" customHeight="1" x14ac:dyDescent="0.2">
      <c r="A66" s="348"/>
      <c r="C66" s="366"/>
      <c r="D66" s="366"/>
      <c r="E66" s="367"/>
      <c r="F66" s="366"/>
    </row>
    <row r="68" spans="1:11" s="126" customFormat="1" ht="33.6" customHeight="1" x14ac:dyDescent="0.2">
      <c r="A68" s="567" t="s">
        <v>665</v>
      </c>
      <c r="B68" s="567"/>
      <c r="C68" s="567"/>
      <c r="D68" s="567"/>
      <c r="E68" s="567"/>
      <c r="F68" s="567"/>
    </row>
  </sheetData>
  <mergeCells count="9">
    <mergeCell ref="A68:F68"/>
    <mergeCell ref="J1:J3"/>
    <mergeCell ref="A12:F12"/>
    <mergeCell ref="A25:F25"/>
    <mergeCell ref="A58:F58"/>
    <mergeCell ref="A37:F37"/>
    <mergeCell ref="A46:F46"/>
    <mergeCell ref="A2:F2"/>
    <mergeCell ref="A1:F1"/>
  </mergeCells>
  <phoneticPr fontId="50" type="noConversion"/>
  <pageMargins left="0.7" right="0.7" top="0.75" bottom="0.75" header="0.3" footer="0.3"/>
  <pageSetup paperSize="9" scale="79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2"/>
  <sheetViews>
    <sheetView topLeftCell="A38" workbookViewId="0">
      <selection activeCell="D73" sqref="D73"/>
    </sheetView>
  </sheetViews>
  <sheetFormatPr defaultRowHeight="15" x14ac:dyDescent="0.25"/>
  <cols>
    <col min="1" max="1" width="43.42578125" style="2" customWidth="1"/>
    <col min="2" max="2" width="10.42578125" style="2" customWidth="1"/>
  </cols>
  <sheetData>
    <row r="1" spans="1:10" s="1" customFormat="1" ht="10.15" customHeight="1" x14ac:dyDescent="0.2">
      <c r="A1" s="145" t="str">
        <f>plan_statystyki!C2</f>
        <v>Przedmiot</v>
      </c>
      <c r="B1" s="145" t="str">
        <f>plan_statystyki!F3</f>
        <v>ECTS</v>
      </c>
      <c r="C1" s="146" t="s">
        <v>666</v>
      </c>
      <c r="D1" s="147" t="s">
        <v>667</v>
      </c>
      <c r="E1" s="146" t="s">
        <v>668</v>
      </c>
      <c r="F1" s="146" t="s">
        <v>669</v>
      </c>
      <c r="G1" s="146" t="s">
        <v>670</v>
      </c>
      <c r="H1" s="146" t="s">
        <v>671</v>
      </c>
      <c r="I1" s="148"/>
      <c r="J1" s="148"/>
    </row>
    <row r="2" spans="1:10" s="1" customFormat="1" ht="10.15" customHeight="1" x14ac:dyDescent="0.2">
      <c r="A2" s="149" t="str">
        <f>Przedmioty_statystyka!B3</f>
        <v>Anatomia</v>
      </c>
      <c r="B2" s="149">
        <f>Przedmioty_statystyka!E3</f>
        <v>2</v>
      </c>
      <c r="C2" s="148" t="s">
        <v>672</v>
      </c>
      <c r="D2" s="148"/>
      <c r="E2" s="148"/>
      <c r="F2" s="148"/>
      <c r="G2" s="150">
        <f>B2</f>
        <v>2</v>
      </c>
      <c r="H2" s="148"/>
      <c r="I2" s="148"/>
      <c r="J2" s="148"/>
    </row>
    <row r="3" spans="1:10" s="1" customFormat="1" ht="10.15" customHeight="1" x14ac:dyDescent="0.2">
      <c r="A3" s="149" t="str">
        <f>Przedmioty_statystyka!B4</f>
        <v>Biologia z genetyką</v>
      </c>
      <c r="B3" s="149">
        <f>Przedmioty_statystyka!E4</f>
        <v>3</v>
      </c>
      <c r="C3" s="148" t="s">
        <v>673</v>
      </c>
      <c r="D3" s="148"/>
      <c r="E3" s="150">
        <f>B3</f>
        <v>3</v>
      </c>
      <c r="F3" s="150"/>
      <c r="G3" s="150"/>
      <c r="H3" s="148"/>
      <c r="I3" s="148"/>
      <c r="J3" s="148"/>
    </row>
    <row r="4" spans="1:10" s="1" customFormat="1" ht="10.15" customHeight="1" x14ac:dyDescent="0.2">
      <c r="A4" s="149" t="str">
        <f>Przedmioty_statystyka!B5</f>
        <v>Histologia</v>
      </c>
      <c r="B4" s="149">
        <f>Przedmioty_statystyka!E5</f>
        <v>3</v>
      </c>
      <c r="C4" s="148" t="s">
        <v>672</v>
      </c>
      <c r="D4" s="148"/>
      <c r="E4" s="148"/>
      <c r="F4" s="148"/>
      <c r="G4" s="150">
        <f t="shared" ref="G4:G5" si="0">B4</f>
        <v>3</v>
      </c>
      <c r="H4" s="148"/>
      <c r="I4" s="148"/>
      <c r="J4" s="148"/>
    </row>
    <row r="5" spans="1:10" s="1" customFormat="1" ht="10.15" customHeight="1" x14ac:dyDescent="0.2">
      <c r="A5" s="149" t="str">
        <f>Przedmioty_statystyka!B6</f>
        <v>Podstawy ratownictwa medycznego</v>
      </c>
      <c r="B5" s="149">
        <f>Przedmioty_statystyka!E6</f>
        <v>2</v>
      </c>
      <c r="C5" s="148" t="s">
        <v>672</v>
      </c>
      <c r="D5" s="148"/>
      <c r="E5" s="148"/>
      <c r="F5" s="148"/>
      <c r="G5" s="150">
        <f t="shared" si="0"/>
        <v>2</v>
      </c>
      <c r="H5" s="148"/>
      <c r="I5" s="148"/>
      <c r="J5" s="148"/>
    </row>
    <row r="6" spans="1:10" s="1" customFormat="1" ht="10.15" customHeight="1" x14ac:dyDescent="0.2">
      <c r="A6" s="149" t="str">
        <f>Przedmioty_statystyka!B7</f>
        <v>Kosmetologia pielęgnacyjna/cz.1</v>
      </c>
      <c r="B6" s="149">
        <f>Przedmioty_statystyka!E7</f>
        <v>4</v>
      </c>
      <c r="C6" s="148" t="s">
        <v>674</v>
      </c>
      <c r="D6" s="148"/>
      <c r="E6" s="148"/>
      <c r="F6" s="150">
        <f>B6</f>
        <v>4</v>
      </c>
      <c r="G6" s="150"/>
      <c r="H6" s="148"/>
      <c r="I6" s="148"/>
      <c r="J6" s="148"/>
    </row>
    <row r="7" spans="1:10" s="1" customFormat="1" ht="10.15" customHeight="1" x14ac:dyDescent="0.2">
      <c r="A7" s="149" t="str">
        <f>Przedmioty_statystyka!B8</f>
        <v>Wprowadzenie do oceny właściwości surowców kosmetycznych</v>
      </c>
      <c r="B7" s="149">
        <f>Przedmioty_statystyka!E8</f>
        <v>3</v>
      </c>
      <c r="C7" s="148" t="s">
        <v>673</v>
      </c>
      <c r="D7" s="148"/>
      <c r="E7" s="150">
        <f>B7</f>
        <v>3</v>
      </c>
      <c r="F7" s="150"/>
      <c r="G7" s="150"/>
      <c r="H7" s="148"/>
      <c r="I7" s="148"/>
      <c r="J7" s="148"/>
    </row>
    <row r="8" spans="1:10" s="1" customFormat="1" ht="10.15" customHeight="1" x14ac:dyDescent="0.2">
      <c r="A8" s="149" t="str">
        <f>Przedmioty_statystyka!B9</f>
        <v>Chemia kosmetyczna</v>
      </c>
      <c r="B8" s="149">
        <f>Przedmioty_statystyka!E9</f>
        <v>2</v>
      </c>
      <c r="C8" s="148" t="s">
        <v>673</v>
      </c>
      <c r="D8" s="148"/>
      <c r="E8" s="150">
        <f>B8</f>
        <v>2</v>
      </c>
      <c r="F8" s="150"/>
      <c r="G8" s="150"/>
      <c r="H8" s="148"/>
      <c r="I8" s="148"/>
      <c r="J8" s="148"/>
    </row>
    <row r="9" spans="1:10" s="1" customFormat="1" ht="10.15" customHeight="1" x14ac:dyDescent="0.2">
      <c r="A9" s="149" t="str">
        <f>Przedmioty_statystyka!B10</f>
        <v>Podstawy ergonomii i BHP/Ocena narażenia zawodowego i BHP "do wyboru"</v>
      </c>
      <c r="B9" s="149">
        <f>Przedmioty_statystyka!E10</f>
        <v>1</v>
      </c>
      <c r="C9" s="148" t="s">
        <v>673</v>
      </c>
      <c r="D9" s="148"/>
      <c r="E9" s="150">
        <f>B9</f>
        <v>1</v>
      </c>
      <c r="F9" s="150"/>
      <c r="G9" s="150"/>
      <c r="H9" s="148"/>
      <c r="I9" s="148"/>
      <c r="J9" s="148"/>
    </row>
    <row r="10" spans="1:10" s="1" customFormat="1" ht="10.15" customHeight="1" x14ac:dyDescent="0.2">
      <c r="A10" s="149" t="str">
        <f>Przedmioty_statystyka!B11</f>
        <v>Kształtowanie sylwetki i postawy ciała/Ćwiczenia fitness "do wyboru"/cz.1</v>
      </c>
      <c r="B10" s="149">
        <f>Przedmioty_statystyka!E11</f>
        <v>0</v>
      </c>
      <c r="C10" s="148" t="s">
        <v>675</v>
      </c>
      <c r="D10" s="148"/>
      <c r="E10" s="151"/>
      <c r="F10" s="151"/>
      <c r="G10" s="151"/>
      <c r="H10" s="150">
        <f>B10</f>
        <v>0</v>
      </c>
      <c r="I10" s="148"/>
      <c r="J10" s="148"/>
    </row>
    <row r="11" spans="1:10" s="1" customFormat="1" ht="10.15" customHeight="1" x14ac:dyDescent="0.2">
      <c r="A11" s="149" t="str">
        <f>Przedmioty_statystyka!B12</f>
        <v>Technologie informacyjne</v>
      </c>
      <c r="B11" s="149">
        <f>Przedmioty_statystyka!E12</f>
        <v>2</v>
      </c>
      <c r="C11" s="148" t="s">
        <v>675</v>
      </c>
      <c r="D11" s="148"/>
      <c r="E11" s="148"/>
      <c r="F11" s="148"/>
      <c r="G11" s="148"/>
      <c r="H11" s="150">
        <f>B11</f>
        <v>2</v>
      </c>
      <c r="I11" s="148"/>
      <c r="J11" s="148"/>
    </row>
    <row r="12" spans="1:10" s="1" customFormat="1" ht="10.15" customHeight="1" x14ac:dyDescent="0.2">
      <c r="A12" s="149" t="str">
        <f>Przedmioty_statystyka!B13</f>
        <v>Botanika w kosmetologii</v>
      </c>
      <c r="B12" s="149">
        <f>Przedmioty_statystyka!E13</f>
        <v>2</v>
      </c>
      <c r="C12" s="148" t="s">
        <v>673</v>
      </c>
      <c r="D12" s="148"/>
      <c r="E12" s="150">
        <f>B12</f>
        <v>2</v>
      </c>
      <c r="F12" s="148"/>
      <c r="G12" s="148"/>
      <c r="H12" s="150"/>
      <c r="I12" s="148"/>
      <c r="J12" s="148"/>
    </row>
    <row r="13" spans="1:10" s="1" customFormat="1" ht="10.15" customHeight="1" x14ac:dyDescent="0.2">
      <c r="A13" s="149" t="str">
        <f>Przedmioty_statystyka!B14</f>
        <v>Historia kosmetologii</v>
      </c>
      <c r="B13" s="149">
        <f>Przedmioty_statystyka!E14</f>
        <v>1</v>
      </c>
      <c r="C13" s="148" t="s">
        <v>675</v>
      </c>
      <c r="D13" s="148"/>
      <c r="E13" s="152"/>
      <c r="F13" s="150"/>
      <c r="G13" s="150"/>
      <c r="H13" s="150">
        <f>B13</f>
        <v>1</v>
      </c>
      <c r="I13" s="148"/>
      <c r="J13" s="148"/>
    </row>
    <row r="14" spans="1:10" s="1" customFormat="1" ht="10.15" customHeight="1" x14ac:dyDescent="0.2">
      <c r="A14" s="149" t="str">
        <f>Przedmioty_statystyka!B15</f>
        <v>Etykieta i komunikacja interpersonalna</v>
      </c>
      <c r="B14" s="149">
        <f>Przedmioty_statystyka!E15</f>
        <v>1</v>
      </c>
      <c r="C14" s="148" t="s">
        <v>676</v>
      </c>
      <c r="D14" s="150"/>
      <c r="E14" s="148"/>
      <c r="F14" s="150"/>
      <c r="G14" s="150"/>
      <c r="H14" s="150">
        <f>B14</f>
        <v>1</v>
      </c>
      <c r="I14" s="148"/>
      <c r="J14" s="150"/>
    </row>
    <row r="15" spans="1:10" s="1" customFormat="1" ht="10.15" customHeight="1" x14ac:dyDescent="0.2">
      <c r="A15" s="416" t="str">
        <f>plan_statystyki!C32</f>
        <v>Fakultety wolne - do wyboru  4 ECTS</v>
      </c>
      <c r="B15" s="149">
        <f>Przedmioty_statystyka!E16</f>
        <v>4</v>
      </c>
      <c r="C15" s="148" t="s">
        <v>677</v>
      </c>
      <c r="D15" s="150">
        <f>SUM(B2:B15)</f>
        <v>30</v>
      </c>
      <c r="E15" s="148">
        <f>$B$15/2</f>
        <v>2</v>
      </c>
      <c r="F15" s="148">
        <f>$B$15/2</f>
        <v>2</v>
      </c>
      <c r="G15" s="150"/>
      <c r="H15" s="150"/>
      <c r="I15" s="148"/>
      <c r="J15" s="148"/>
    </row>
    <row r="16" spans="1:10" s="1" customFormat="1" ht="10.15" customHeight="1" x14ac:dyDescent="0.2">
      <c r="A16" s="149" t="str">
        <f>Przedmioty_statystyka!B21</f>
        <v>Biochemia</v>
      </c>
      <c r="B16" s="149">
        <f>Przedmioty_statystyka!E21</f>
        <v>4</v>
      </c>
      <c r="C16" s="148" t="s">
        <v>673</v>
      </c>
      <c r="D16" s="148"/>
      <c r="E16" s="150">
        <f>B16</f>
        <v>4</v>
      </c>
      <c r="F16" s="150"/>
      <c r="G16" s="150"/>
      <c r="H16" s="148"/>
      <c r="I16" s="148"/>
      <c r="J16" s="148"/>
    </row>
    <row r="17" spans="1:11" s="1" customFormat="1" ht="10.15" customHeight="1" x14ac:dyDescent="0.2">
      <c r="A17" s="149" t="str">
        <f>Przedmioty_statystyka!B22</f>
        <v>Biofizyka</v>
      </c>
      <c r="B17" s="149">
        <f>Przedmioty_statystyka!E22</f>
        <v>3</v>
      </c>
      <c r="C17" s="148" t="s">
        <v>673</v>
      </c>
      <c r="D17" s="148"/>
      <c r="E17" s="150">
        <f>B17</f>
        <v>3</v>
      </c>
      <c r="F17" s="150"/>
      <c r="G17" s="150"/>
      <c r="H17" s="148"/>
      <c r="I17" s="148"/>
      <c r="J17" s="148"/>
    </row>
    <row r="18" spans="1:11" s="1" customFormat="1" ht="10.15" customHeight="1" x14ac:dyDescent="0.2">
      <c r="A18" s="149" t="str">
        <f>Przedmioty_statystyka!B23</f>
        <v>Fizjologia</v>
      </c>
      <c r="B18" s="149">
        <f>Przedmioty_statystyka!E23</f>
        <v>3</v>
      </c>
      <c r="C18" s="148" t="s">
        <v>672</v>
      </c>
      <c r="D18" s="148"/>
      <c r="E18" s="148"/>
      <c r="F18" s="148"/>
      <c r="G18" s="150">
        <f t="shared" ref="G18:G19" si="1">B18</f>
        <v>3</v>
      </c>
      <c r="H18" s="148"/>
      <c r="I18" s="148"/>
      <c r="J18" s="148"/>
    </row>
    <row r="19" spans="1:11" s="1" customFormat="1" ht="10.15" customHeight="1" x14ac:dyDescent="0.2">
      <c r="A19" s="149" t="str">
        <f>Przedmioty_statystyka!B24</f>
        <v>Patofizjologia</v>
      </c>
      <c r="B19" s="149">
        <f>Przedmioty_statystyka!E24</f>
        <v>4</v>
      </c>
      <c r="C19" s="148" t="s">
        <v>672</v>
      </c>
      <c r="D19" s="148"/>
      <c r="E19" s="148"/>
      <c r="F19" s="148"/>
      <c r="G19" s="150">
        <f t="shared" si="1"/>
        <v>4</v>
      </c>
      <c r="H19" s="148"/>
      <c r="I19" s="148"/>
      <c r="J19" s="148"/>
    </row>
    <row r="20" spans="1:11" s="1" customFormat="1" ht="10.15" customHeight="1" x14ac:dyDescent="0.2">
      <c r="A20" s="149" t="str">
        <f>Przedmioty_statystyka!B25</f>
        <v>Kosmetologia pielęgnacyjna/cz.2-full</v>
      </c>
      <c r="B20" s="149">
        <f>Przedmioty_statystyka!E25</f>
        <v>6</v>
      </c>
      <c r="C20" s="148" t="s">
        <v>674</v>
      </c>
      <c r="D20" s="148"/>
      <c r="E20" s="148"/>
      <c r="F20" s="150">
        <f>B20</f>
        <v>6</v>
      </c>
      <c r="G20" s="150"/>
      <c r="H20" s="148"/>
      <c r="I20" s="148"/>
      <c r="J20" s="148"/>
    </row>
    <row r="21" spans="1:11" s="1" customFormat="1" ht="10.15" customHeight="1" x14ac:dyDescent="0.2">
      <c r="A21" s="149" t="str">
        <f>Przedmioty_statystyka!B26</f>
        <v xml:space="preserve">Język obcy dla kosmetologów/cz.1                    </v>
      </c>
      <c r="B21" s="149">
        <f>Przedmioty_statystyka!E26</f>
        <v>1</v>
      </c>
      <c r="C21" s="148" t="s">
        <v>675</v>
      </c>
      <c r="D21" s="148"/>
      <c r="E21" s="150"/>
      <c r="F21" s="150"/>
      <c r="G21" s="150"/>
      <c r="H21" s="150">
        <f>B21</f>
        <v>1</v>
      </c>
      <c r="I21" s="148"/>
      <c r="J21" s="148"/>
    </row>
    <row r="22" spans="1:11" s="1" customFormat="1" ht="10.15" customHeight="1" x14ac:dyDescent="0.2">
      <c r="A22" s="149" t="str">
        <f>Przedmioty_statystyka!B27</f>
        <v>Kształtowanie sylwetki i postawy ciała/Ćwiczenia fitness "do wyboru"/cz.2</v>
      </c>
      <c r="B22" s="149">
        <f>Przedmioty_statystyka!E27</f>
        <v>0</v>
      </c>
      <c r="C22" s="148" t="s">
        <v>675</v>
      </c>
      <c r="D22" s="148"/>
      <c r="E22" s="148"/>
      <c r="F22" s="148"/>
      <c r="G22" s="148"/>
      <c r="H22" s="150">
        <f>B22</f>
        <v>0</v>
      </c>
      <c r="I22" s="148"/>
      <c r="J22" s="148"/>
    </row>
    <row r="23" spans="1:11" s="1" customFormat="1" ht="10.15" customHeight="1" x14ac:dyDescent="0.2">
      <c r="A23" s="416" t="str">
        <f>Przedmioty_statystyka!B28</f>
        <v>Fakultety wolne - do wyboru  6 ECTS</v>
      </c>
      <c r="B23" s="149">
        <f>Przedmioty_statystyka!E28</f>
        <v>6</v>
      </c>
      <c r="C23" s="148" t="s">
        <v>677</v>
      </c>
      <c r="D23" s="148"/>
      <c r="E23" s="148">
        <f>$B$23/2</f>
        <v>3</v>
      </c>
      <c r="F23" s="148">
        <f>$B$23/2</f>
        <v>3</v>
      </c>
      <c r="G23" s="150"/>
      <c r="H23" s="148"/>
      <c r="I23" s="148"/>
      <c r="J23" s="148"/>
    </row>
    <row r="24" spans="1:11" s="1" customFormat="1" ht="10.15" customHeight="1" x14ac:dyDescent="0.2">
      <c r="A24" s="150" t="str">
        <f>Przedmioty_statystyka!B29</f>
        <v>Praktyki zawodowe śródroczne ("do wyboru")</v>
      </c>
      <c r="B24" s="149">
        <f>Przedmioty_statystyka!E29</f>
        <v>3</v>
      </c>
      <c r="C24" s="148" t="s">
        <v>674</v>
      </c>
      <c r="D24" s="150">
        <f>SUM(B16:B24)</f>
        <v>30</v>
      </c>
      <c r="E24" s="150"/>
      <c r="F24" s="150">
        <f>B24</f>
        <v>3</v>
      </c>
      <c r="G24" s="150"/>
      <c r="H24" s="148"/>
      <c r="I24" s="148"/>
      <c r="J24" s="148"/>
    </row>
    <row r="25" spans="1:11" s="1" customFormat="1" ht="10.15" customHeight="1" x14ac:dyDescent="0.2">
      <c r="A25" s="149" t="str">
        <f>Przedmioty_statystyka!B34</f>
        <v>Mikrobiologia</v>
      </c>
      <c r="B25" s="149">
        <f>Przedmioty_statystyka!E34</f>
        <v>5</v>
      </c>
      <c r="C25" s="148" t="s">
        <v>673</v>
      </c>
      <c r="D25" s="148"/>
      <c r="E25" s="150">
        <f t="shared" ref="E25" si="2">B25</f>
        <v>5</v>
      </c>
      <c r="F25" s="151"/>
      <c r="G25" s="150"/>
      <c r="H25" s="148"/>
      <c r="I25" s="148"/>
      <c r="J25" s="148"/>
      <c r="K25" s="1" t="s">
        <v>678</v>
      </c>
    </row>
    <row r="26" spans="1:11" s="1" customFormat="1" ht="10.15" customHeight="1" x14ac:dyDescent="0.2">
      <c r="A26" s="149" t="str">
        <f>Przedmioty_statystyka!B35</f>
        <v>Immunologia</v>
      </c>
      <c r="B26" s="149">
        <f>Przedmioty_statystyka!E35</f>
        <v>1</v>
      </c>
      <c r="C26" s="148" t="s">
        <v>672</v>
      </c>
      <c r="D26" s="148"/>
      <c r="E26" s="148"/>
      <c r="F26" s="148"/>
      <c r="G26" s="150">
        <f t="shared" ref="G26:G27" si="3">B26</f>
        <v>1</v>
      </c>
      <c r="H26" s="148"/>
      <c r="I26" s="148"/>
      <c r="J26" s="148"/>
    </row>
    <row r="27" spans="1:11" s="1" customFormat="1" ht="10.15" customHeight="1" x14ac:dyDescent="0.2">
      <c r="A27" s="149" t="str">
        <f>Przedmioty_statystyka!B36</f>
        <v>Dermatologia</v>
      </c>
      <c r="B27" s="149">
        <f>Przedmioty_statystyka!E36</f>
        <v>5</v>
      </c>
      <c r="C27" s="148" t="s">
        <v>672</v>
      </c>
      <c r="D27" s="148"/>
      <c r="E27" s="148"/>
      <c r="F27" s="148"/>
      <c r="G27" s="150">
        <f t="shared" si="3"/>
        <v>5</v>
      </c>
      <c r="H27" s="148"/>
      <c r="I27" s="148"/>
      <c r="J27" s="148"/>
    </row>
    <row r="28" spans="1:11" s="1" customFormat="1" ht="10.15" customHeight="1" x14ac:dyDescent="0.2">
      <c r="A28" s="149" t="str">
        <f>Przedmioty_statystyka!B37</f>
        <v>Dyspersja i inne zjawiska w preparatach kosmetycznych</v>
      </c>
      <c r="B28" s="149">
        <f>Przedmioty_statystyka!E37</f>
        <v>3</v>
      </c>
      <c r="C28" s="148" t="s">
        <v>673</v>
      </c>
      <c r="D28" s="148"/>
      <c r="E28" s="150">
        <f>B28</f>
        <v>3</v>
      </c>
      <c r="F28" s="150"/>
      <c r="G28" s="150"/>
      <c r="H28" s="148"/>
      <c r="I28" s="148"/>
      <c r="J28" s="148"/>
    </row>
    <row r="29" spans="1:11" s="1" customFormat="1" ht="10.15" customHeight="1" x14ac:dyDescent="0.2">
      <c r="A29" s="149" t="str">
        <f>Przedmioty_statystyka!B38</f>
        <v xml:space="preserve">Podstawy ziołolecznictwa </v>
      </c>
      <c r="B29" s="149">
        <f>Przedmioty_statystyka!E38</f>
        <v>4</v>
      </c>
      <c r="C29" s="148" t="s">
        <v>673</v>
      </c>
      <c r="D29" s="148"/>
      <c r="E29" s="150">
        <f>B29</f>
        <v>4</v>
      </c>
      <c r="F29" s="150"/>
      <c r="G29" s="150"/>
      <c r="H29" s="148"/>
      <c r="I29" s="148"/>
      <c r="J29" s="148"/>
    </row>
    <row r="30" spans="1:11" s="1" customFormat="1" ht="10.15" customHeight="1" x14ac:dyDescent="0.2">
      <c r="A30" s="149" t="str">
        <f>Przedmioty_statystyka!B39</f>
        <v>Podologia</v>
      </c>
      <c r="B30" s="149">
        <f>Przedmioty_statystyka!E39</f>
        <v>2</v>
      </c>
      <c r="C30" s="148" t="s">
        <v>674</v>
      </c>
      <c r="D30" s="148"/>
      <c r="E30" s="148"/>
      <c r="F30" s="150">
        <f>B30</f>
        <v>2</v>
      </c>
      <c r="H30" s="148"/>
      <c r="I30" s="148"/>
      <c r="J30" s="148"/>
    </row>
    <row r="31" spans="1:11" s="1" customFormat="1" ht="10.15" customHeight="1" x14ac:dyDescent="0.2">
      <c r="A31" s="149" t="str">
        <f>Przedmioty_statystyka!B40</f>
        <v xml:space="preserve">Język obcy dla kosmetologów/cz.2                    </v>
      </c>
      <c r="B31" s="149">
        <f>Przedmioty_statystyka!E40</f>
        <v>1</v>
      </c>
      <c r="C31" s="148" t="s">
        <v>675</v>
      </c>
      <c r="D31" s="148"/>
      <c r="E31" s="148"/>
      <c r="F31" s="148"/>
      <c r="G31" s="148"/>
      <c r="H31" s="150">
        <f>B31</f>
        <v>1</v>
      </c>
      <c r="I31" s="148"/>
      <c r="J31" s="148"/>
    </row>
    <row r="32" spans="1:11" s="1" customFormat="1" ht="10.15" customHeight="1" x14ac:dyDescent="0.2">
      <c r="A32" s="149" t="str">
        <f>Przedmioty_statystyka!B41</f>
        <v>Kształtowanie sylwetki i postawy ciała/Ćwiczenia fitness "do wyboru"/cz.3-full</v>
      </c>
      <c r="B32" s="149">
        <f>Przedmioty_statystyka!E41</f>
        <v>0</v>
      </c>
      <c r="C32" s="148" t="s">
        <v>675</v>
      </c>
      <c r="D32" s="148"/>
      <c r="E32" s="150"/>
      <c r="F32" s="150"/>
      <c r="G32" s="150"/>
      <c r="H32" s="150">
        <f>B32</f>
        <v>0</v>
      </c>
      <c r="I32" s="148"/>
      <c r="J32" s="148"/>
    </row>
    <row r="33" spans="1:10" s="1" customFormat="1" ht="10.15" customHeight="1" x14ac:dyDescent="0.2">
      <c r="A33" s="149" t="str">
        <f>Przedmioty_statystyka!B42</f>
        <v>Wizaż i stylizacja</v>
      </c>
      <c r="B33" s="149">
        <f>Przedmioty_statystyka!E42</f>
        <v>3</v>
      </c>
      <c r="C33" s="148" t="s">
        <v>674</v>
      </c>
      <c r="D33" s="148"/>
      <c r="E33" s="148"/>
      <c r="F33" s="150">
        <f>B33</f>
        <v>3</v>
      </c>
      <c r="G33" s="150"/>
      <c r="H33" s="148"/>
      <c r="I33" s="148"/>
      <c r="J33" s="148"/>
    </row>
    <row r="34" spans="1:10" s="1" customFormat="1" ht="10.15" customHeight="1" x14ac:dyDescent="0.2">
      <c r="A34" s="416" t="str">
        <f>Przedmioty_statystyka!B43</f>
        <v>Fakultety wolne - do wyboru  6 ECTS</v>
      </c>
      <c r="B34" s="149">
        <f>Przedmioty_statystyka!E43</f>
        <v>6</v>
      </c>
      <c r="C34" s="148" t="s">
        <v>677</v>
      </c>
      <c r="D34" s="150">
        <f>SUM(B25:B34)</f>
        <v>30</v>
      </c>
      <c r="E34" s="148">
        <f>$B$34/2</f>
        <v>3</v>
      </c>
      <c r="F34" s="148">
        <f>$B$34/2</f>
        <v>3</v>
      </c>
      <c r="G34" s="150"/>
      <c r="H34" s="148"/>
      <c r="I34" s="148"/>
      <c r="J34" s="148"/>
    </row>
    <row r="35" spans="1:10" s="1" customFormat="1" ht="10.15" customHeight="1" x14ac:dyDescent="0.2">
      <c r="A35" s="149" t="str">
        <f>Przedmioty_statystyka!B48</f>
        <v>Higiena w aspekcie zawodu kosmetologa</v>
      </c>
      <c r="B35" s="149">
        <f>Przedmioty_statystyka!E48</f>
        <v>1</v>
      </c>
      <c r="C35" s="148" t="s">
        <v>673</v>
      </c>
      <c r="D35" s="148"/>
      <c r="E35" s="150">
        <f>B35</f>
        <v>1</v>
      </c>
      <c r="G35" s="150"/>
      <c r="H35" s="148"/>
      <c r="I35" s="148"/>
      <c r="J35" s="148"/>
    </row>
    <row r="36" spans="1:10" s="1" customFormat="1" ht="10.15" customHeight="1" x14ac:dyDescent="0.2">
      <c r="A36" s="149" t="str">
        <f>Przedmioty_statystyka!B49</f>
        <v>Kosmetologia upiększająca</v>
      </c>
      <c r="B36" s="149">
        <f>Przedmioty_statystyka!E49</f>
        <v>7</v>
      </c>
      <c r="C36" s="148" t="s">
        <v>674</v>
      </c>
      <c r="D36" s="148"/>
      <c r="E36" s="150"/>
      <c r="F36" s="150">
        <f t="shared" ref="F36" si="4">B36</f>
        <v>7</v>
      </c>
      <c r="G36" s="150"/>
      <c r="H36" s="148"/>
      <c r="I36" s="148"/>
      <c r="J36" s="148"/>
    </row>
    <row r="37" spans="1:10" s="1" customFormat="1" ht="10.15" customHeight="1" x14ac:dyDescent="0.2">
      <c r="A37" s="149" t="str">
        <f>Przedmioty_statystyka!B50</f>
        <v>Receptura kosmetyczna I</v>
      </c>
      <c r="B37" s="149">
        <f>Przedmioty_statystyka!E50</f>
        <v>4</v>
      </c>
      <c r="C37" s="148" t="s">
        <v>673</v>
      </c>
      <c r="D37" s="148"/>
      <c r="E37" s="150">
        <f>B37</f>
        <v>4</v>
      </c>
      <c r="F37" s="150"/>
      <c r="G37" s="150"/>
      <c r="H37" s="148"/>
      <c r="I37" s="148"/>
      <c r="J37" s="148"/>
    </row>
    <row r="38" spans="1:10" s="1" customFormat="1" ht="10.15" customHeight="1" x14ac:dyDescent="0.2">
      <c r="A38" s="149" t="str">
        <f>Przedmioty_statystyka!B51</f>
        <v>Kosmetologia geriatryczna</v>
      </c>
      <c r="B38" s="149">
        <f>Przedmioty_statystyka!E51</f>
        <v>3</v>
      </c>
      <c r="C38" s="148" t="s">
        <v>674</v>
      </c>
      <c r="D38" s="148"/>
      <c r="E38" s="148"/>
      <c r="F38" s="150">
        <f>B38</f>
        <v>3</v>
      </c>
      <c r="G38" s="150"/>
      <c r="H38" s="148"/>
      <c r="I38" s="148"/>
      <c r="J38" s="148"/>
    </row>
    <row r="39" spans="1:10" s="1" customFormat="1" ht="10.15" customHeight="1" x14ac:dyDescent="0.2">
      <c r="A39" s="149" t="str">
        <f>Przedmioty_statystyka!B52</f>
        <v>Marketing w kosmetologii</v>
      </c>
      <c r="B39" s="149">
        <f>Przedmioty_statystyka!E52</f>
        <v>2</v>
      </c>
      <c r="C39" s="148" t="s">
        <v>673</v>
      </c>
      <c r="D39" s="148"/>
      <c r="E39" s="150">
        <f>B39</f>
        <v>2</v>
      </c>
      <c r="F39" s="150"/>
      <c r="G39" s="150"/>
      <c r="H39" s="148"/>
      <c r="I39" s="148"/>
      <c r="J39" s="148"/>
    </row>
    <row r="40" spans="1:10" s="1" customFormat="1" ht="10.15" customHeight="1" x14ac:dyDescent="0.2">
      <c r="A40" s="149" t="str">
        <f>Przedmioty_statystyka!B53</f>
        <v>Zasady prawidłowego żywienia i dietetyka</v>
      </c>
      <c r="B40" s="149">
        <f>Przedmioty_statystyka!E53</f>
        <v>2</v>
      </c>
      <c r="C40" s="148" t="s">
        <v>674</v>
      </c>
      <c r="D40" s="148"/>
      <c r="E40" s="148"/>
      <c r="F40" s="150">
        <f>B40</f>
        <v>2</v>
      </c>
      <c r="G40" s="150"/>
      <c r="H40" s="148"/>
      <c r="I40" s="148"/>
      <c r="J40" s="148"/>
    </row>
    <row r="41" spans="1:10" s="1" customFormat="1" ht="10.15" customHeight="1" x14ac:dyDescent="0.2">
      <c r="A41" s="149" t="str">
        <f>Przedmioty_statystyka!B54</f>
        <v>Telekosmetologia</v>
      </c>
      <c r="B41" s="149">
        <f>Przedmioty_statystyka!E54</f>
        <v>1</v>
      </c>
      <c r="C41" s="148" t="s">
        <v>674</v>
      </c>
      <c r="D41" s="148"/>
      <c r="E41" s="148"/>
      <c r="F41" s="150">
        <f>B41</f>
        <v>1</v>
      </c>
      <c r="G41" s="148"/>
      <c r="I41" s="148"/>
      <c r="J41" s="148"/>
    </row>
    <row r="42" spans="1:10" s="1" customFormat="1" ht="10.15" customHeight="1" x14ac:dyDescent="0.2">
      <c r="A42" s="149" t="str">
        <f>Przedmioty_statystyka!B55</f>
        <v xml:space="preserve">Język obcy dla kosmetologów/cz.3                  </v>
      </c>
      <c r="B42" s="149">
        <f>Przedmioty_statystyka!E55</f>
        <v>1</v>
      </c>
      <c r="C42" s="148" t="s">
        <v>675</v>
      </c>
      <c r="D42" s="148"/>
      <c r="E42" s="150"/>
      <c r="G42" s="150"/>
      <c r="H42" s="150">
        <f>B42</f>
        <v>1</v>
      </c>
      <c r="I42" s="148"/>
      <c r="J42" s="148"/>
    </row>
    <row r="43" spans="1:10" s="1" customFormat="1" ht="10.15" customHeight="1" x14ac:dyDescent="0.2">
      <c r="A43" s="149" t="str">
        <f>Przedmioty_statystyka!B56</f>
        <v>Profilaktyka chorób społecznych/zdrowie publiczne</v>
      </c>
      <c r="B43" s="149">
        <f>Przedmioty_statystyka!E56</f>
        <v>2</v>
      </c>
      <c r="C43" s="153" t="s">
        <v>676</v>
      </c>
      <c r="D43" s="148"/>
      <c r="E43" s="148"/>
      <c r="F43" s="150">
        <f>B43</f>
        <v>2</v>
      </c>
      <c r="G43" s="150"/>
      <c r="H43" s="148"/>
      <c r="I43" s="148"/>
      <c r="J43" s="148"/>
    </row>
    <row r="44" spans="1:10" s="1" customFormat="1" ht="10.15" customHeight="1" x14ac:dyDescent="0.2">
      <c r="A44" s="416" t="str">
        <f>Przedmioty_statystyka!B57</f>
        <v>Fakultet interprofesjonalny "tematyka do wyboru"</v>
      </c>
      <c r="B44" s="149">
        <f>Przedmioty_statystyka!E57</f>
        <v>2</v>
      </c>
      <c r="C44" s="148" t="s">
        <v>677</v>
      </c>
      <c r="D44" s="148"/>
      <c r="E44" s="148">
        <f>$B$44/2</f>
        <v>1</v>
      </c>
      <c r="F44" s="148">
        <f>$B$44/2</f>
        <v>1</v>
      </c>
      <c r="G44" s="150"/>
      <c r="H44" s="148"/>
      <c r="I44" s="148"/>
      <c r="J44" s="148"/>
    </row>
    <row r="45" spans="1:10" s="1" customFormat="1" ht="10.15" customHeight="1" x14ac:dyDescent="0.2">
      <c r="A45" s="416" t="str">
        <f>Przedmioty_statystyka!B58</f>
        <v>Fakultety wolne - do wyboru  2 ECTS</v>
      </c>
      <c r="B45" s="149">
        <f>Przedmioty_statystyka!E58</f>
        <v>2</v>
      </c>
      <c r="C45" s="148" t="s">
        <v>677</v>
      </c>
      <c r="D45" s="148"/>
      <c r="E45" s="148">
        <f>$B$45/2</f>
        <v>1</v>
      </c>
      <c r="F45" s="148">
        <f>$B$45/2</f>
        <v>1</v>
      </c>
      <c r="G45" s="150"/>
      <c r="H45" s="148"/>
      <c r="I45" s="148"/>
      <c r="J45" s="148"/>
    </row>
    <row r="46" spans="1:10" s="1" customFormat="1" ht="10.15" customHeight="1" x14ac:dyDescent="0.2">
      <c r="A46" s="150" t="str">
        <f>Przedmioty_statystyka!B59</f>
        <v>Praktyki zawodowe śródroczne ("do wyboru")</v>
      </c>
      <c r="B46" s="149">
        <f>Przedmioty_statystyka!E59</f>
        <v>3</v>
      </c>
      <c r="C46" s="148" t="s">
        <v>674</v>
      </c>
      <c r="D46" s="150">
        <f>SUM(B35:B46)</f>
        <v>30</v>
      </c>
      <c r="E46" s="148"/>
      <c r="F46" s="150">
        <f t="shared" ref="F46" si="5">B46</f>
        <v>3</v>
      </c>
      <c r="G46" s="150"/>
      <c r="H46" s="148"/>
      <c r="I46" s="148"/>
      <c r="J46" s="150"/>
    </row>
    <row r="47" spans="1:10" s="1" customFormat="1" ht="10.15" customHeight="1" x14ac:dyDescent="0.2">
      <c r="A47" s="149" t="str">
        <f>Przedmioty_statystyka!B64</f>
        <v>Farmakologia</v>
      </c>
      <c r="B47" s="149">
        <f>Przedmioty_statystyka!E64</f>
        <v>4</v>
      </c>
      <c r="C47" s="148" t="s">
        <v>673</v>
      </c>
      <c r="D47" s="148"/>
      <c r="E47" s="150">
        <f>B47</f>
        <v>4</v>
      </c>
      <c r="F47" s="150"/>
      <c r="G47" s="150"/>
      <c r="H47" s="148"/>
      <c r="I47" s="148"/>
      <c r="J47" s="148"/>
    </row>
    <row r="48" spans="1:10" s="1" customFormat="1" ht="10.15" customHeight="1" x14ac:dyDescent="0.2">
      <c r="A48" s="149" t="str">
        <f>Przedmioty_statystyka!B65</f>
        <v>Estetyka</v>
      </c>
      <c r="B48" s="149">
        <f>Przedmioty_statystyka!E65</f>
        <v>2</v>
      </c>
      <c r="C48" s="148" t="s">
        <v>674</v>
      </c>
      <c r="D48" s="148"/>
      <c r="E48" s="148"/>
      <c r="F48" s="150">
        <f>B48</f>
        <v>2</v>
      </c>
      <c r="G48" s="150"/>
      <c r="H48" s="148"/>
      <c r="I48" s="148"/>
      <c r="J48" s="148"/>
    </row>
    <row r="49" spans="1:10" s="1" customFormat="1" ht="10.15" customHeight="1" x14ac:dyDescent="0.2">
      <c r="A49" s="149" t="str">
        <f>Przedmioty_statystyka!B66</f>
        <v>Receptura kosmetyczna II</v>
      </c>
      <c r="B49" s="149">
        <f>Przedmioty_statystyka!E66</f>
        <v>3</v>
      </c>
      <c r="C49" s="148" t="s">
        <v>673</v>
      </c>
      <c r="D49" s="148"/>
      <c r="E49" s="150">
        <f>B49</f>
        <v>3</v>
      </c>
      <c r="F49" s="150"/>
      <c r="G49" s="150"/>
      <c r="H49" s="148"/>
      <c r="I49" s="148"/>
      <c r="J49" s="148"/>
    </row>
    <row r="50" spans="1:10" s="1" customFormat="1" ht="10.15" customHeight="1" x14ac:dyDescent="0.2">
      <c r="A50" s="149" t="str">
        <f>Przedmioty_statystyka!B67</f>
        <v>Współczesne metody analizy instrumentalnej kosmetyków</v>
      </c>
      <c r="B50" s="149">
        <f>Przedmioty_statystyka!E67</f>
        <v>2</v>
      </c>
      <c r="C50" s="148" t="s">
        <v>673</v>
      </c>
      <c r="D50" s="148"/>
      <c r="E50" s="150">
        <f>B50</f>
        <v>2</v>
      </c>
      <c r="F50" s="150"/>
      <c r="G50" s="150"/>
      <c r="H50" s="148"/>
      <c r="I50" s="148"/>
      <c r="J50" s="148"/>
    </row>
    <row r="51" spans="1:10" s="1" customFormat="1" ht="10.15" customHeight="1" x14ac:dyDescent="0.2">
      <c r="A51" s="149" t="str">
        <f>Przedmioty_statystyka!B68</f>
        <v>Kosmetyka anti-aging/Kosmetologia specjalistyczna</v>
      </c>
      <c r="B51" s="149">
        <f>Przedmioty_statystyka!E68</f>
        <v>5</v>
      </c>
      <c r="C51" s="148" t="s">
        <v>674</v>
      </c>
      <c r="D51" s="148"/>
      <c r="E51" s="148"/>
      <c r="F51" s="150">
        <f>B51</f>
        <v>5</v>
      </c>
      <c r="G51" s="150"/>
      <c r="I51" s="148"/>
      <c r="J51" s="148"/>
    </row>
    <row r="52" spans="1:10" s="1" customFormat="1" ht="10.15" customHeight="1" x14ac:dyDescent="0.2">
      <c r="A52" s="149" t="str">
        <f>Przedmioty_statystyka!B69</f>
        <v xml:space="preserve">Język obcy dla kosmetologów/cz.4-full                </v>
      </c>
      <c r="B52" s="149">
        <f>Przedmioty_statystyka!E69</f>
        <v>1</v>
      </c>
      <c r="C52" s="148" t="s">
        <v>675</v>
      </c>
      <c r="D52" s="148"/>
      <c r="E52" s="148"/>
      <c r="F52" s="148"/>
      <c r="G52" s="148"/>
      <c r="H52" s="150">
        <f>B52</f>
        <v>1</v>
      </c>
      <c r="I52" s="148"/>
      <c r="J52" s="148"/>
    </row>
    <row r="53" spans="1:10" s="1" customFormat="1" ht="10.15" customHeight="1" x14ac:dyDescent="0.2">
      <c r="A53" s="149" t="str">
        <f>Przedmioty_statystyka!B71</f>
        <v>Etyka i komunikacja zawodowa</v>
      </c>
      <c r="B53" s="149">
        <f>Przedmioty_statystyka!E71</f>
        <v>1</v>
      </c>
      <c r="C53" s="148" t="s">
        <v>676</v>
      </c>
      <c r="D53" s="148"/>
      <c r="F53" s="150"/>
      <c r="G53" s="150"/>
      <c r="H53" s="150">
        <f>B53</f>
        <v>1</v>
      </c>
      <c r="I53" s="148"/>
      <c r="J53" s="148"/>
    </row>
    <row r="54" spans="1:10" s="1" customFormat="1" ht="10.15" customHeight="1" x14ac:dyDescent="0.2">
      <c r="A54" s="416" t="str">
        <f>Przedmioty_statystyka!B72</f>
        <v>Fakultety wolne - do wyboru 6 ECTS</v>
      </c>
      <c r="B54" s="149">
        <f>Przedmioty_statystyka!E72</f>
        <v>6</v>
      </c>
      <c r="C54" s="148" t="s">
        <v>677</v>
      </c>
      <c r="D54" s="148"/>
      <c r="E54" s="148">
        <f>$B$54/2</f>
        <v>3</v>
      </c>
      <c r="F54" s="148">
        <f>$B$54/2</f>
        <v>3</v>
      </c>
      <c r="G54" s="150"/>
      <c r="H54" s="148"/>
      <c r="I54" s="148"/>
      <c r="J54" s="148"/>
    </row>
    <row r="55" spans="1:10" s="1" customFormat="1" ht="10.15" customHeight="1" x14ac:dyDescent="0.2">
      <c r="A55" s="149" t="str">
        <f>Przedmioty_statystyka!B73</f>
        <v xml:space="preserve">Warsztaty praktyczne ("do wyboru") </v>
      </c>
      <c r="B55" s="149">
        <f>Przedmioty_statystyka!E73</f>
        <v>5</v>
      </c>
      <c r="C55" s="148" t="s">
        <v>674</v>
      </c>
      <c r="D55" s="150">
        <f>SUM(B47:B55)</f>
        <v>29</v>
      </c>
      <c r="E55" s="150">
        <f>B55</f>
        <v>5</v>
      </c>
      <c r="F55" s="150"/>
      <c r="G55" s="150"/>
      <c r="H55" s="148"/>
      <c r="I55" s="148"/>
      <c r="J55" s="148"/>
    </row>
    <row r="56" spans="1:10" s="1" customFormat="1" ht="10.15" customHeight="1" x14ac:dyDescent="0.2">
      <c r="A56" s="149" t="str">
        <f>Przedmioty_statystyka!B78</f>
        <v>Fizjoterapia i masaż</v>
      </c>
      <c r="B56" s="149">
        <f>Przedmioty_statystyka!E78</f>
        <v>4</v>
      </c>
      <c r="C56" s="153" t="s">
        <v>672</v>
      </c>
      <c r="D56" s="148"/>
      <c r="E56" s="150"/>
      <c r="F56" s="150"/>
      <c r="G56" s="150">
        <f t="shared" ref="G56" si="6">B56</f>
        <v>4</v>
      </c>
      <c r="H56" s="148"/>
      <c r="I56" s="148"/>
      <c r="J56" s="148"/>
    </row>
    <row r="57" spans="1:10" s="1" customFormat="1" ht="10.15" customHeight="1" x14ac:dyDescent="0.2">
      <c r="A57" s="149" t="str">
        <f>Przedmioty_statystyka!B79</f>
        <v>Podstawy toksykologii</v>
      </c>
      <c r="B57" s="149">
        <f>Przedmioty_statystyka!E79</f>
        <v>2</v>
      </c>
      <c r="C57" s="148" t="s">
        <v>673</v>
      </c>
      <c r="D57" s="148"/>
      <c r="E57" s="150">
        <f>B57</f>
        <v>2</v>
      </c>
      <c r="F57" s="148"/>
      <c r="G57" s="148"/>
      <c r="I57" s="148"/>
      <c r="J57" s="148"/>
    </row>
    <row r="58" spans="1:10" s="1" customFormat="1" ht="10.15" customHeight="1" x14ac:dyDescent="0.2">
      <c r="A58" s="149" t="str">
        <f>Przedmioty_statystyka!B80</f>
        <v>Diagnostyka laboratoryjna</v>
      </c>
      <c r="B58" s="149">
        <f>Przedmioty_statystyka!E80</f>
        <v>2</v>
      </c>
      <c r="C58" s="153" t="s">
        <v>672</v>
      </c>
      <c r="D58" s="148"/>
      <c r="E58" s="148"/>
      <c r="F58" s="150"/>
      <c r="G58" s="150">
        <f>B58</f>
        <v>2</v>
      </c>
      <c r="H58" s="148"/>
      <c r="I58" s="148"/>
      <c r="J58" s="148"/>
    </row>
    <row r="59" spans="1:10" s="1" customFormat="1" ht="10.15" customHeight="1" x14ac:dyDescent="0.2">
      <c r="A59" s="149" t="str">
        <f>Przedmioty_statystyka!B81</f>
        <v>Warsztaty grupowego poradnictwa zawodowego i aktywizacji zawodowej</v>
      </c>
      <c r="B59" s="149">
        <f>Przedmioty_statystyka!E81</f>
        <v>0</v>
      </c>
      <c r="C59" s="148" t="s">
        <v>675</v>
      </c>
      <c r="D59" s="148"/>
      <c r="E59" s="148"/>
      <c r="F59" s="150"/>
      <c r="G59" s="150"/>
      <c r="H59" s="150">
        <f>B59</f>
        <v>0</v>
      </c>
      <c r="I59" s="148"/>
      <c r="J59" s="148"/>
    </row>
    <row r="60" spans="1:10" s="1" customFormat="1" ht="10.15" customHeight="1" x14ac:dyDescent="0.2">
      <c r="A60" s="149" t="str">
        <f>Przedmioty_statystyka!B82</f>
        <v>Podstawy ratownictwa medycznego</v>
      </c>
      <c r="B60" s="149">
        <f>Przedmioty_statystyka!E82</f>
        <v>0</v>
      </c>
      <c r="C60" s="153" t="s">
        <v>672</v>
      </c>
      <c r="D60" s="148"/>
      <c r="E60" s="148"/>
      <c r="F60" s="150"/>
      <c r="G60" s="150">
        <f>B60</f>
        <v>0</v>
      </c>
      <c r="H60" s="148"/>
      <c r="I60" s="148"/>
      <c r="J60" s="148"/>
    </row>
    <row r="61" spans="1:10" s="1" customFormat="1" ht="10.15" customHeight="1" x14ac:dyDescent="0.2">
      <c r="A61" s="149" t="str">
        <f>Przedmioty_statystyka!B83</f>
        <v>Opieka kosmetologiczna nad osobami po zabiegach medycznych</v>
      </c>
      <c r="B61" s="149">
        <f>Przedmioty_statystyka!E83</f>
        <v>1</v>
      </c>
      <c r="C61" s="148" t="s">
        <v>674</v>
      </c>
      <c r="D61" s="148"/>
      <c r="E61" s="150"/>
      <c r="F61" s="150">
        <f t="shared" ref="F61:F62" si="7">B61</f>
        <v>1</v>
      </c>
      <c r="G61" s="150"/>
      <c r="H61" s="148"/>
      <c r="I61" s="148"/>
      <c r="J61" s="148"/>
    </row>
    <row r="62" spans="1:10" s="1" customFormat="1" ht="10.15" customHeight="1" x14ac:dyDescent="0.2">
      <c r="A62" s="149" t="str">
        <f>Przedmioty_statystyka!B84</f>
        <v>Mikropigmentacja medyczna w aspekcie opieki kosmetologicznej</v>
      </c>
      <c r="B62" s="149">
        <f>Przedmioty_statystyka!E84</f>
        <v>1</v>
      </c>
      <c r="C62" s="148" t="s">
        <v>674</v>
      </c>
      <c r="D62" s="148"/>
      <c r="E62" s="150"/>
      <c r="F62" s="150">
        <f t="shared" si="7"/>
        <v>1</v>
      </c>
      <c r="G62" s="148"/>
      <c r="H62" s="148"/>
      <c r="I62" s="148"/>
      <c r="J62" s="148"/>
    </row>
    <row r="63" spans="1:10" s="1" customFormat="1" ht="10.15" customHeight="1" x14ac:dyDescent="0.2">
      <c r="A63" s="149" t="e">
        <f>Przedmioty_statystyka!#REF!</f>
        <v>#REF!</v>
      </c>
      <c r="B63" s="149" t="e">
        <f>Przedmioty_statystyka!#REF!</f>
        <v>#REF!</v>
      </c>
      <c r="C63" s="148" t="s">
        <v>676</v>
      </c>
      <c r="D63" s="148"/>
      <c r="E63" s="150" t="e">
        <f>B63</f>
        <v>#REF!</v>
      </c>
      <c r="F63" s="150"/>
      <c r="G63" s="150"/>
      <c r="H63" s="148"/>
      <c r="I63" s="148"/>
      <c r="J63" s="148"/>
    </row>
    <row r="64" spans="1:10" s="1" customFormat="1" ht="10.15" customHeight="1" x14ac:dyDescent="0.2">
      <c r="A64" s="416" t="str">
        <f>Przedmioty_statystyka!B85</f>
        <v>Fakultety wolne - do wyboru 4 ECTS</v>
      </c>
      <c r="B64" s="149">
        <f>Przedmioty_statystyka!E85</f>
        <v>4</v>
      </c>
      <c r="C64" s="148" t="s">
        <v>677</v>
      </c>
      <c r="D64" s="148"/>
      <c r="E64" s="148">
        <f>$B$64/2</f>
        <v>2</v>
      </c>
      <c r="F64" s="148">
        <f>$B$64/2</f>
        <v>2</v>
      </c>
      <c r="G64" s="148"/>
      <c r="H64" s="148"/>
      <c r="I64" s="148"/>
      <c r="J64" s="148"/>
    </row>
    <row r="65" spans="1:10" s="1" customFormat="1" ht="10.15" customHeight="1" x14ac:dyDescent="0.2">
      <c r="A65" s="149" t="str">
        <f>Przedmioty_statystyka!B86</f>
        <v xml:space="preserve">Warsztaty praktyczne ("do wyboru") </v>
      </c>
      <c r="B65" s="149">
        <f>Przedmioty_statystyka!E86</f>
        <v>6</v>
      </c>
      <c r="C65" s="148" t="s">
        <v>674</v>
      </c>
      <c r="D65" s="148"/>
      <c r="E65" s="148"/>
      <c r="F65" s="150">
        <f>B65</f>
        <v>6</v>
      </c>
      <c r="G65" s="150"/>
      <c r="H65" s="148"/>
      <c r="I65" s="148"/>
      <c r="J65" s="148"/>
    </row>
    <row r="66" spans="1:10" s="1" customFormat="1" ht="10.15" customHeight="1" x14ac:dyDescent="0.2">
      <c r="A66" s="149" t="str">
        <f>Przedmioty_statystyka!B87</f>
        <v>PRACA DYPLOMOWA</v>
      </c>
      <c r="B66" s="149">
        <f>Przedmioty_statystyka!E87</f>
        <v>7</v>
      </c>
      <c r="C66" s="148" t="s">
        <v>679</v>
      </c>
      <c r="D66" s="148"/>
      <c r="E66" s="150">
        <f>$B$66/3</f>
        <v>2.3333333333333335</v>
      </c>
      <c r="F66" s="150">
        <f t="shared" ref="F66:G66" si="8">$B$66/3</f>
        <v>2.3333333333333335</v>
      </c>
      <c r="G66" s="150">
        <f t="shared" si="8"/>
        <v>2.3333333333333335</v>
      </c>
      <c r="H66" s="148"/>
      <c r="I66" s="148"/>
      <c r="J66" s="148"/>
    </row>
    <row r="67" spans="1:10" s="1" customFormat="1" ht="10.15" customHeight="1" x14ac:dyDescent="0.2">
      <c r="A67" s="149" t="str">
        <f>Przedmioty_statystyka!B88</f>
        <v>Informacja naukowa</v>
      </c>
      <c r="B67" s="149">
        <f>Przedmioty_statystyka!E88</f>
        <v>0</v>
      </c>
      <c r="C67" s="148" t="s">
        <v>679</v>
      </c>
      <c r="D67" s="148"/>
      <c r="E67" s="151">
        <f>$B$67/3</f>
        <v>0</v>
      </c>
      <c r="F67" s="151">
        <f t="shared" ref="F67:G67" si="9">$B$67/3</f>
        <v>0</v>
      </c>
      <c r="G67" s="151">
        <f t="shared" si="9"/>
        <v>0</v>
      </c>
      <c r="H67" s="150"/>
      <c r="I67" s="148"/>
      <c r="J67" s="148"/>
    </row>
    <row r="68" spans="1:10" s="1" customFormat="1" ht="10.15" customHeight="1" x14ac:dyDescent="0.2">
      <c r="A68" s="149" t="str">
        <f>Przedmioty_statystyka!B89</f>
        <v>Egzamin dyplomowy</v>
      </c>
      <c r="B68" s="149">
        <f>Przedmioty_statystyka!E89</f>
        <v>3</v>
      </c>
      <c r="C68" s="148" t="s">
        <v>679</v>
      </c>
      <c r="D68" s="150" t="e">
        <f>SUM(B56:B68)</f>
        <v>#REF!</v>
      </c>
      <c r="E68" s="150">
        <f>$B$68/3</f>
        <v>1</v>
      </c>
      <c r="F68" s="150">
        <f t="shared" ref="F68:G68" si="10">$B$68/3</f>
        <v>1</v>
      </c>
      <c r="G68" s="150">
        <f t="shared" si="10"/>
        <v>1</v>
      </c>
      <c r="H68" s="150"/>
      <c r="I68" s="148"/>
      <c r="J68" s="148"/>
    </row>
    <row r="69" spans="1:10" x14ac:dyDescent="0.25">
      <c r="A69" s="154" t="s">
        <v>680</v>
      </c>
      <c r="B69" s="155" t="e">
        <f>SUM(B2:B68)</f>
        <v>#REF!</v>
      </c>
      <c r="C69" s="156"/>
      <c r="D69" s="156" t="e">
        <f>SUM(D2:D68)</f>
        <v>#REF!</v>
      </c>
      <c r="E69" s="156" t="e">
        <f>SUM(E2:E68)</f>
        <v>#REF!</v>
      </c>
      <c r="F69" s="156">
        <f>SUM(F2:F68)</f>
        <v>69.333333333333329</v>
      </c>
      <c r="G69" s="156">
        <f>SUM(G2:G68)</f>
        <v>29.333333333333332</v>
      </c>
      <c r="H69" s="156">
        <f>SUM(H2:H68)</f>
        <v>9</v>
      </c>
      <c r="I69" s="157"/>
      <c r="J69" s="156" t="e">
        <f>SUM(E69:H69)</f>
        <v>#REF!</v>
      </c>
    </row>
    <row r="70" spans="1:10" x14ac:dyDescent="0.25">
      <c r="A70" s="158" t="s">
        <v>47</v>
      </c>
      <c r="B70" s="158"/>
      <c r="C70" s="157"/>
      <c r="D70" s="157"/>
      <c r="E70" s="159" t="e">
        <f>(E69/$B$69)*100</f>
        <v>#REF!</v>
      </c>
      <c r="F70" s="159" t="e">
        <f>(F69/$B$69)*100</f>
        <v>#REF!</v>
      </c>
      <c r="G70" s="159" t="e">
        <f>(G69/$B$69)*100</f>
        <v>#REF!</v>
      </c>
      <c r="H70" s="159" t="e">
        <f>(H69/$B$69)*100</f>
        <v>#REF!</v>
      </c>
      <c r="I70" s="157"/>
      <c r="J70" s="159" t="e">
        <f>SUM(E70:H70)</f>
        <v>#REF!</v>
      </c>
    </row>
    <row r="71" spans="1:10" x14ac:dyDescent="0.25">
      <c r="A71" s="158" t="s">
        <v>681</v>
      </c>
      <c r="B71" s="158"/>
      <c r="C71" s="157"/>
      <c r="D71" s="157"/>
      <c r="E71" s="417" t="e">
        <f>((E69/($B$69-$H$69))*100)</f>
        <v>#REF!</v>
      </c>
      <c r="F71" s="418" t="e">
        <f>((F69/($B$69-$H$69))*100)</f>
        <v>#REF!</v>
      </c>
      <c r="G71" s="240" t="e">
        <f>((G69/($B$69-$H$69))*100)</f>
        <v>#REF!</v>
      </c>
      <c r="H71" s="157"/>
      <c r="I71" s="157"/>
      <c r="J71" s="159" t="e">
        <f>SUM(E71:H71)</f>
        <v>#REF!</v>
      </c>
    </row>
    <row r="72" spans="1:10" x14ac:dyDescent="0.25">
      <c r="J72" s="134"/>
    </row>
  </sheetData>
  <pageMargins left="0.7" right="0.7" top="0.75" bottom="0.75" header="0.3" footer="0.3"/>
  <pageSetup paperSize="9" scale="54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0"/>
  <sheetViews>
    <sheetView workbookViewId="0">
      <selection activeCell="B3" sqref="B3"/>
    </sheetView>
  </sheetViews>
  <sheetFormatPr defaultRowHeight="15" x14ac:dyDescent="0.25"/>
  <cols>
    <col min="1" max="1" width="8.85546875" style="8"/>
    <col min="2" max="2" width="54.85546875" style="8" customWidth="1"/>
    <col min="3" max="3" width="15.7109375" style="8" customWidth="1"/>
    <col min="4" max="4" width="15.28515625" style="8" customWidth="1"/>
    <col min="5" max="5" width="10.28515625" customWidth="1"/>
    <col min="9" max="9" width="22" customWidth="1"/>
  </cols>
  <sheetData>
    <row r="1" spans="1:12" x14ac:dyDescent="0.25">
      <c r="A1" s="522" t="s">
        <v>682</v>
      </c>
      <c r="B1" s="578"/>
      <c r="C1" s="578"/>
      <c r="D1" s="231"/>
      <c r="E1" s="209" t="s">
        <v>30</v>
      </c>
      <c r="F1" s="211" t="s">
        <v>26</v>
      </c>
      <c r="G1" s="208" t="s">
        <v>43</v>
      </c>
      <c r="I1" s="577" t="s">
        <v>683</v>
      </c>
      <c r="J1" s="576" t="s">
        <v>684</v>
      </c>
      <c r="K1" s="576"/>
      <c r="L1" s="576"/>
    </row>
    <row r="2" spans="1:12" x14ac:dyDescent="0.25">
      <c r="A2" s="199">
        <v>1</v>
      </c>
      <c r="B2" s="200" t="s">
        <v>24</v>
      </c>
      <c r="C2" s="210" t="s">
        <v>26</v>
      </c>
      <c r="D2" s="115"/>
      <c r="E2">
        <v>2</v>
      </c>
      <c r="F2" s="68">
        <v>7</v>
      </c>
      <c r="G2">
        <v>4</v>
      </c>
      <c r="I2" s="577"/>
      <c r="J2" s="157" t="s">
        <v>30</v>
      </c>
      <c r="K2" s="157" t="s">
        <v>26</v>
      </c>
      <c r="L2" s="157" t="s">
        <v>43</v>
      </c>
    </row>
    <row r="3" spans="1:12" x14ac:dyDescent="0.25">
      <c r="A3" s="199">
        <v>2</v>
      </c>
      <c r="B3" s="200" t="s">
        <v>28</v>
      </c>
      <c r="C3" s="207" t="s">
        <v>30</v>
      </c>
      <c r="D3" s="115"/>
      <c r="E3" s="68">
        <f>(E2/($E2+$F2+$G2))*100</f>
        <v>15.384615384615385</v>
      </c>
      <c r="F3" s="68">
        <f t="shared" ref="F3:G3" si="0">(F2/($E2+$F2+$G2))*100</f>
        <v>53.846153846153847</v>
      </c>
      <c r="G3" s="68">
        <f t="shared" si="0"/>
        <v>30.76923076923077</v>
      </c>
      <c r="I3" s="223" t="str">
        <f>A1</f>
        <v>I rok, I semestr</v>
      </c>
      <c r="J3" s="228">
        <f>E2</f>
        <v>2</v>
      </c>
      <c r="K3" s="228">
        <f>F2</f>
        <v>7</v>
      </c>
      <c r="L3" s="66">
        <f>G2</f>
        <v>4</v>
      </c>
    </row>
    <row r="4" spans="1:12" x14ac:dyDescent="0.25">
      <c r="A4" s="199">
        <v>3</v>
      </c>
      <c r="B4" s="200" t="s">
        <v>31</v>
      </c>
      <c r="C4" s="207" t="s">
        <v>30</v>
      </c>
      <c r="D4" s="115"/>
      <c r="I4" s="224" t="str">
        <f>A18</f>
        <v>I rok, II semestr</v>
      </c>
      <c r="J4" s="229">
        <f>E19</f>
        <v>3</v>
      </c>
      <c r="K4" s="229">
        <f t="shared" ref="K4:L4" si="1">F19</f>
        <v>5</v>
      </c>
      <c r="L4" s="220">
        <f t="shared" si="1"/>
        <v>3</v>
      </c>
    </row>
    <row r="5" spans="1:12" x14ac:dyDescent="0.25">
      <c r="A5" s="199">
        <v>4</v>
      </c>
      <c r="B5" s="200" t="str">
        <f>plan_statystyki!C10</f>
        <v>Podstawy ratownictwa medycznego</v>
      </c>
      <c r="C5" s="210" t="s">
        <v>26</v>
      </c>
      <c r="D5" s="115"/>
      <c r="I5" s="224" t="str">
        <f>A34</f>
        <v>II rok, III semestr</v>
      </c>
      <c r="J5" s="229">
        <f>E35</f>
        <v>3</v>
      </c>
      <c r="K5" s="229">
        <f t="shared" ref="K5:L5" si="2">F35</f>
        <v>4</v>
      </c>
      <c r="L5" s="220">
        <f t="shared" si="2"/>
        <v>4</v>
      </c>
    </row>
    <row r="6" spans="1:12" x14ac:dyDescent="0.25">
      <c r="A6" s="199">
        <v>5</v>
      </c>
      <c r="B6" s="200" t="s">
        <v>404</v>
      </c>
      <c r="C6" s="272" t="s">
        <v>43</v>
      </c>
      <c r="D6" t="s">
        <v>685</v>
      </c>
      <c r="I6" s="224" t="str">
        <f>A51</f>
        <v>II rok, IV semestr</v>
      </c>
      <c r="J6" s="229">
        <f>E52</f>
        <v>2</v>
      </c>
      <c r="K6" s="229">
        <f t="shared" ref="K6:L6" si="3">F52</f>
        <v>6</v>
      </c>
      <c r="L6" s="220">
        <f t="shared" si="3"/>
        <v>2</v>
      </c>
    </row>
    <row r="7" spans="1:12" x14ac:dyDescent="0.25">
      <c r="A7" s="201">
        <v>6</v>
      </c>
      <c r="B7" s="202" t="s">
        <v>48</v>
      </c>
      <c r="C7" s="210" t="s">
        <v>26</v>
      </c>
      <c r="D7" s="115"/>
      <c r="I7" s="224" t="str">
        <f>A65</f>
        <v>III rok, V semestr</v>
      </c>
      <c r="J7" s="229">
        <f>E66</f>
        <v>3</v>
      </c>
      <c r="K7" s="229">
        <f t="shared" ref="K7:L7" si="4">F66</f>
        <v>5</v>
      </c>
      <c r="L7" s="220">
        <f t="shared" si="4"/>
        <v>2</v>
      </c>
    </row>
    <row r="8" spans="1:12" x14ac:dyDescent="0.25">
      <c r="A8" s="199">
        <v>7</v>
      </c>
      <c r="B8" s="200" t="s">
        <v>156</v>
      </c>
      <c r="C8" s="210" t="s">
        <v>26</v>
      </c>
      <c r="D8" s="115"/>
      <c r="I8" s="225" t="str">
        <f>A80</f>
        <v>III rok, VI semestr</v>
      </c>
      <c r="J8" s="230">
        <f>E81</f>
        <v>3</v>
      </c>
      <c r="K8" s="230">
        <f t="shared" ref="K8:L8" si="5">F81</f>
        <v>6</v>
      </c>
      <c r="L8" s="221">
        <f t="shared" si="5"/>
        <v>4</v>
      </c>
    </row>
    <row r="9" spans="1:12" x14ac:dyDescent="0.25">
      <c r="A9" s="199">
        <v>8</v>
      </c>
      <c r="B9" s="200" t="s">
        <v>62</v>
      </c>
      <c r="C9" s="210" t="s">
        <v>26</v>
      </c>
      <c r="D9" s="115"/>
      <c r="I9" s="226" t="s">
        <v>304</v>
      </c>
      <c r="J9" s="228">
        <f>SUM(J3:J8)</f>
        <v>16</v>
      </c>
      <c r="K9" s="228">
        <f t="shared" ref="K9:L9" si="6">SUM(K3:K8)</f>
        <v>33</v>
      </c>
      <c r="L9" s="66">
        <f t="shared" si="6"/>
        <v>19</v>
      </c>
    </row>
    <row r="10" spans="1:12" x14ac:dyDescent="0.25">
      <c r="A10" s="199">
        <v>9</v>
      </c>
      <c r="B10" s="200" t="s">
        <v>67</v>
      </c>
      <c r="C10" s="210" t="s">
        <v>26</v>
      </c>
      <c r="D10" s="115"/>
      <c r="I10" s="227" t="s">
        <v>686</v>
      </c>
      <c r="J10" s="225">
        <f>(J9/($J9+$K9+$L9))*100</f>
        <v>23.52941176470588</v>
      </c>
      <c r="K10" s="225">
        <f t="shared" ref="K10:L10" si="7">(K9/($J9+$K9+$L9))*100</f>
        <v>48.529411764705884</v>
      </c>
      <c r="L10" s="222">
        <f t="shared" si="7"/>
        <v>27.941176470588236</v>
      </c>
    </row>
    <row r="11" spans="1:12" ht="15.75" thickBot="1" x14ac:dyDescent="0.3">
      <c r="A11" s="214">
        <v>10</v>
      </c>
      <c r="B11" s="216" t="s">
        <v>59</v>
      </c>
      <c r="C11" s="217" t="s">
        <v>26</v>
      </c>
      <c r="D11" s="115"/>
    </row>
    <row r="12" spans="1:12" ht="15.75" thickTop="1" x14ac:dyDescent="0.25">
      <c r="A12" s="203">
        <v>11</v>
      </c>
      <c r="B12" s="212" t="s">
        <v>69</v>
      </c>
      <c r="C12" s="273" t="s">
        <v>43</v>
      </c>
      <c r="D12" s="115"/>
    </row>
    <row r="13" spans="1:12" x14ac:dyDescent="0.25">
      <c r="A13" s="199">
        <v>12</v>
      </c>
      <c r="B13" s="202" t="s">
        <v>491</v>
      </c>
      <c r="C13" s="272" t="s">
        <v>43</v>
      </c>
      <c r="D13" s="115"/>
    </row>
    <row r="14" spans="1:12" x14ac:dyDescent="0.25">
      <c r="A14" s="199">
        <v>13</v>
      </c>
      <c r="B14" s="200" t="s">
        <v>477</v>
      </c>
      <c r="C14" s="272" t="s">
        <v>43</v>
      </c>
      <c r="D14" t="s">
        <v>687</v>
      </c>
    </row>
    <row r="15" spans="1:12" x14ac:dyDescent="0.25">
      <c r="A15" s="199"/>
      <c r="B15" s="200" t="s">
        <v>688</v>
      </c>
      <c r="C15" s="125" t="s">
        <v>43</v>
      </c>
      <c r="D15" s="115"/>
    </row>
    <row r="16" spans="1:12" x14ac:dyDescent="0.25">
      <c r="A16" s="199"/>
      <c r="B16" s="200" t="s">
        <v>689</v>
      </c>
      <c r="C16" s="125" t="s">
        <v>43</v>
      </c>
      <c r="D16" s="115"/>
    </row>
    <row r="17" spans="1:7" x14ac:dyDescent="0.25">
      <c r="A17" s="199"/>
      <c r="B17" s="200" t="s">
        <v>523</v>
      </c>
      <c r="C17" s="125" t="s">
        <v>43</v>
      </c>
      <c r="D17" s="115"/>
    </row>
    <row r="18" spans="1:7" ht="14.45" customHeight="1" x14ac:dyDescent="0.25">
      <c r="A18" s="522" t="s">
        <v>690</v>
      </c>
      <c r="B18" s="578"/>
      <c r="C18" s="578"/>
      <c r="D18" s="231"/>
      <c r="E18" s="209" t="s">
        <v>691</v>
      </c>
      <c r="F18" s="211" t="s">
        <v>26</v>
      </c>
      <c r="G18" s="208" t="s">
        <v>43</v>
      </c>
    </row>
    <row r="19" spans="1:7" x14ac:dyDescent="0.25">
      <c r="A19" s="199">
        <v>1</v>
      </c>
      <c r="B19" s="200" t="s">
        <v>82</v>
      </c>
      <c r="C19" s="207" t="s">
        <v>30</v>
      </c>
      <c r="D19" s="115"/>
      <c r="E19">
        <v>3</v>
      </c>
      <c r="F19" s="68">
        <v>5</v>
      </c>
      <c r="G19">
        <v>3</v>
      </c>
    </row>
    <row r="20" spans="1:7" x14ac:dyDescent="0.25">
      <c r="A20" s="199">
        <v>2</v>
      </c>
      <c r="B20" s="200" t="s">
        <v>84</v>
      </c>
      <c r="C20" s="210" t="s">
        <v>26</v>
      </c>
      <c r="D20" s="115"/>
      <c r="E20" s="68">
        <f>(E19/($E19+$F19+$G19))*100</f>
        <v>27.27272727272727</v>
      </c>
      <c r="F20" s="68">
        <f t="shared" ref="F20" si="8">(F19/($E19+$F19+$G19))*100</f>
        <v>45.454545454545453</v>
      </c>
      <c r="G20" s="68">
        <f t="shared" ref="G20" si="9">(G19/($E19+$F19+$G19))*100</f>
        <v>27.27272727272727</v>
      </c>
    </row>
    <row r="21" spans="1:7" x14ac:dyDescent="0.25">
      <c r="A21" s="199">
        <v>3</v>
      </c>
      <c r="B21" s="202" t="s">
        <v>87</v>
      </c>
      <c r="C21" s="210" t="s">
        <v>26</v>
      </c>
      <c r="D21" s="115"/>
    </row>
    <row r="22" spans="1:7" x14ac:dyDescent="0.25">
      <c r="A22" s="199">
        <v>4</v>
      </c>
      <c r="B22" s="202" t="s">
        <v>89</v>
      </c>
      <c r="C22" s="207" t="s">
        <v>30</v>
      </c>
      <c r="D22" s="115"/>
    </row>
    <row r="23" spans="1:7" x14ac:dyDescent="0.25">
      <c r="A23" s="199">
        <v>5</v>
      </c>
      <c r="B23" s="200" t="s">
        <v>404</v>
      </c>
      <c r="C23" s="207" t="s">
        <v>692</v>
      </c>
      <c r="D23" s="115"/>
    </row>
    <row r="24" spans="1:7" x14ac:dyDescent="0.25">
      <c r="A24" s="199">
        <v>6</v>
      </c>
      <c r="B24" s="202" t="s">
        <v>44</v>
      </c>
      <c r="C24" s="210" t="s">
        <v>26</v>
      </c>
      <c r="D24" s="115"/>
    </row>
    <row r="25" spans="1:7" ht="15.75" thickBot="1" x14ac:dyDescent="0.3">
      <c r="A25" s="199">
        <v>7</v>
      </c>
      <c r="B25" s="215" t="s">
        <v>693</v>
      </c>
      <c r="C25" s="277" t="s">
        <v>43</v>
      </c>
      <c r="D25" t="s">
        <v>687</v>
      </c>
    </row>
    <row r="26" spans="1:7" ht="15.75" thickTop="1" x14ac:dyDescent="0.25">
      <c r="A26" s="199">
        <v>8</v>
      </c>
      <c r="B26" s="212" t="s">
        <v>694</v>
      </c>
      <c r="C26" s="213" t="s">
        <v>26</v>
      </c>
      <c r="D26" s="115"/>
    </row>
    <row r="27" spans="1:7" x14ac:dyDescent="0.25">
      <c r="A27" s="199">
        <v>9</v>
      </c>
      <c r="B27" s="200" t="s">
        <v>469</v>
      </c>
      <c r="C27" s="272" t="s">
        <v>43</v>
      </c>
      <c r="D27" s="115"/>
    </row>
    <row r="28" spans="1:7" x14ac:dyDescent="0.25">
      <c r="A28" s="199">
        <v>10</v>
      </c>
      <c r="B28" s="200" t="s">
        <v>477</v>
      </c>
      <c r="C28" s="272" t="s">
        <v>43</v>
      </c>
      <c r="D28" t="s">
        <v>687</v>
      </c>
    </row>
    <row r="29" spans="1:7" x14ac:dyDescent="0.25">
      <c r="A29" s="199"/>
      <c r="B29" s="200" t="s">
        <v>525</v>
      </c>
      <c r="C29" s="125" t="s">
        <v>26</v>
      </c>
      <c r="D29" s="115"/>
    </row>
    <row r="30" spans="1:7" x14ac:dyDescent="0.25">
      <c r="A30" s="199"/>
      <c r="B30" s="200" t="s">
        <v>529</v>
      </c>
      <c r="C30" s="125" t="s">
        <v>43</v>
      </c>
      <c r="D30" s="115"/>
    </row>
    <row r="31" spans="1:7" x14ac:dyDescent="0.25">
      <c r="A31" s="199"/>
      <c r="B31" s="200" t="s">
        <v>523</v>
      </c>
      <c r="C31" s="125" t="s">
        <v>43</v>
      </c>
      <c r="D31" t="s">
        <v>687</v>
      </c>
    </row>
    <row r="32" spans="1:7" x14ac:dyDescent="0.25">
      <c r="A32" s="199">
        <v>11</v>
      </c>
      <c r="B32" s="200" t="s">
        <v>98</v>
      </c>
      <c r="C32" s="210" t="s">
        <v>26</v>
      </c>
      <c r="D32" s="115" t="s">
        <v>695</v>
      </c>
    </row>
    <row r="33" spans="1:7" x14ac:dyDescent="0.25">
      <c r="A33" s="579" t="s">
        <v>101</v>
      </c>
      <c r="B33" s="580"/>
      <c r="C33" s="580"/>
      <c r="D33" s="232"/>
    </row>
    <row r="34" spans="1:7" ht="14.45" customHeight="1" x14ac:dyDescent="0.25">
      <c r="A34" s="522" t="s">
        <v>696</v>
      </c>
      <c r="B34" s="578"/>
      <c r="C34" s="578"/>
      <c r="D34" s="231"/>
      <c r="E34" s="209" t="s">
        <v>30</v>
      </c>
      <c r="F34" s="211" t="s">
        <v>26</v>
      </c>
      <c r="G34" s="208" t="s">
        <v>43</v>
      </c>
    </row>
    <row r="35" spans="1:7" x14ac:dyDescent="0.25">
      <c r="A35" s="199">
        <v>1</v>
      </c>
      <c r="B35" s="202" t="s">
        <v>103</v>
      </c>
      <c r="C35" s="207" t="s">
        <v>30</v>
      </c>
      <c r="D35" s="115"/>
      <c r="E35">
        <v>3</v>
      </c>
      <c r="F35" s="68">
        <v>4</v>
      </c>
      <c r="G35">
        <v>4</v>
      </c>
    </row>
    <row r="36" spans="1:7" x14ac:dyDescent="0.25">
      <c r="A36" s="199">
        <v>2</v>
      </c>
      <c r="B36" s="202" t="s">
        <v>106</v>
      </c>
      <c r="C36" s="210" t="s">
        <v>26</v>
      </c>
      <c r="D36" s="115"/>
      <c r="E36" s="68">
        <f>(E35/($E35+$F35+$G35))*100</f>
        <v>27.27272727272727</v>
      </c>
      <c r="F36" s="68">
        <f t="shared" ref="F36" si="10">(F35/($E35+$F35+$G35))*100</f>
        <v>36.363636363636367</v>
      </c>
      <c r="G36" s="68">
        <f t="shared" ref="G36" si="11">(G35/($E35+$F35+$G35))*100</f>
        <v>36.363636363636367</v>
      </c>
    </row>
    <row r="37" spans="1:7" x14ac:dyDescent="0.25">
      <c r="A37" s="199">
        <v>3</v>
      </c>
      <c r="B37" s="200" t="s">
        <v>109</v>
      </c>
      <c r="C37" s="207" t="s">
        <v>30</v>
      </c>
      <c r="D37" s="115"/>
    </row>
    <row r="38" spans="1:7" x14ac:dyDescent="0.25">
      <c r="A38" s="199">
        <v>4</v>
      </c>
      <c r="B38" s="200" t="s">
        <v>697</v>
      </c>
      <c r="C38" s="210" t="s">
        <v>26</v>
      </c>
      <c r="D38" s="115"/>
    </row>
    <row r="39" spans="1:7" x14ac:dyDescent="0.25">
      <c r="A39" s="199">
        <v>5</v>
      </c>
      <c r="B39" s="200" t="s">
        <v>118</v>
      </c>
      <c r="C39" s="207" t="s">
        <v>698</v>
      </c>
      <c r="D39" s="115"/>
    </row>
    <row r="40" spans="1:7" x14ac:dyDescent="0.25">
      <c r="A40" s="199">
        <v>6</v>
      </c>
      <c r="B40" s="200" t="s">
        <v>121</v>
      </c>
      <c r="C40" s="210" t="s">
        <v>26</v>
      </c>
      <c r="D40" s="115"/>
    </row>
    <row r="41" spans="1:7" ht="15.75" thickBot="1" x14ac:dyDescent="0.3">
      <c r="A41" s="199">
        <v>7</v>
      </c>
      <c r="B41" s="215" t="s">
        <v>430</v>
      </c>
      <c r="C41" s="236" t="s">
        <v>43</v>
      </c>
      <c r="D41" t="s">
        <v>687</v>
      </c>
    </row>
    <row r="42" spans="1:7" ht="15.75" thickTop="1" x14ac:dyDescent="0.25">
      <c r="A42" s="199">
        <v>8</v>
      </c>
      <c r="B42" s="212" t="s">
        <v>522</v>
      </c>
      <c r="C42" s="273" t="s">
        <v>43</v>
      </c>
      <c r="D42" s="233"/>
    </row>
    <row r="43" spans="1:7" x14ac:dyDescent="0.25">
      <c r="A43" s="199">
        <v>9</v>
      </c>
      <c r="B43" s="200" t="s">
        <v>125</v>
      </c>
      <c r="C43" s="210" t="s">
        <v>26</v>
      </c>
      <c r="D43" s="115"/>
    </row>
    <row r="44" spans="1:7" x14ac:dyDescent="0.25">
      <c r="A44" s="199">
        <v>10</v>
      </c>
      <c r="B44" s="200" t="s">
        <v>611</v>
      </c>
      <c r="C44" s="272" t="s">
        <v>43</v>
      </c>
      <c r="D44" s="233"/>
    </row>
    <row r="45" spans="1:7" x14ac:dyDescent="0.25">
      <c r="A45" s="199">
        <v>11</v>
      </c>
      <c r="B45" s="200" t="s">
        <v>477</v>
      </c>
      <c r="C45" s="272" t="s">
        <v>43</v>
      </c>
      <c r="D45" t="s">
        <v>699</v>
      </c>
    </row>
    <row r="46" spans="1:7" x14ac:dyDescent="0.25">
      <c r="A46" s="203"/>
      <c r="B46" s="212" t="s">
        <v>537</v>
      </c>
      <c r="C46" s="274" t="s">
        <v>43</v>
      </c>
      <c r="D46" s="233"/>
    </row>
    <row r="47" spans="1:7" x14ac:dyDescent="0.25">
      <c r="A47" s="199"/>
      <c r="B47" s="200" t="s">
        <v>700</v>
      </c>
      <c r="C47" s="125" t="s">
        <v>26</v>
      </c>
      <c r="D47" s="115"/>
    </row>
    <row r="48" spans="1:7" x14ac:dyDescent="0.25">
      <c r="A48" s="199"/>
      <c r="B48" s="200" t="s">
        <v>531</v>
      </c>
      <c r="C48" s="125" t="s">
        <v>43</v>
      </c>
      <c r="D48" s="233"/>
    </row>
    <row r="49" spans="1:7" x14ac:dyDescent="0.25">
      <c r="A49" s="199"/>
      <c r="B49" s="200" t="s">
        <v>523</v>
      </c>
      <c r="C49" s="125" t="s">
        <v>43</v>
      </c>
      <c r="D49" s="115"/>
    </row>
    <row r="50" spans="1:7" x14ac:dyDescent="0.25">
      <c r="A50" s="579" t="s">
        <v>101</v>
      </c>
      <c r="B50" s="580"/>
      <c r="C50" s="580"/>
      <c r="D50" s="232"/>
    </row>
    <row r="51" spans="1:7" ht="14.45" customHeight="1" x14ac:dyDescent="0.25">
      <c r="A51" s="522" t="s">
        <v>701</v>
      </c>
      <c r="B51" s="578"/>
      <c r="C51" s="578"/>
      <c r="D51" s="231"/>
      <c r="E51" s="209" t="s">
        <v>30</v>
      </c>
      <c r="F51" s="211" t="s">
        <v>26</v>
      </c>
      <c r="G51" s="208" t="s">
        <v>43</v>
      </c>
    </row>
    <row r="52" spans="1:7" x14ac:dyDescent="0.25">
      <c r="A52" s="199">
        <v>1</v>
      </c>
      <c r="B52" s="202" t="s">
        <v>372</v>
      </c>
      <c r="C52" s="210" t="s">
        <v>26</v>
      </c>
      <c r="D52" s="115"/>
      <c r="E52">
        <v>2</v>
      </c>
      <c r="F52" s="68">
        <v>6</v>
      </c>
      <c r="G52">
        <v>2</v>
      </c>
    </row>
    <row r="53" spans="1:7" x14ac:dyDescent="0.25">
      <c r="A53" s="199">
        <v>2</v>
      </c>
      <c r="B53" s="200" t="s">
        <v>130</v>
      </c>
      <c r="C53" s="207" t="s">
        <v>132</v>
      </c>
      <c r="D53" s="115" t="s">
        <v>702</v>
      </c>
      <c r="E53" s="68">
        <f>(E52/($E52+$F52+$G52))*100</f>
        <v>20</v>
      </c>
      <c r="F53" s="68">
        <f t="shared" ref="F53" si="12">(F52/($E52+$F52+$G52))*100</f>
        <v>60</v>
      </c>
      <c r="G53" s="68">
        <f t="shared" ref="G53" si="13">(G52/($E52+$F52+$G52))*100</f>
        <v>20</v>
      </c>
    </row>
    <row r="54" spans="1:7" x14ac:dyDescent="0.25">
      <c r="A54" s="199">
        <v>3</v>
      </c>
      <c r="B54" s="202" t="s">
        <v>133</v>
      </c>
      <c r="C54" s="207" t="s">
        <v>30</v>
      </c>
      <c r="D54" s="115"/>
    </row>
    <row r="55" spans="1:7" x14ac:dyDescent="0.25">
      <c r="A55" s="199">
        <v>4</v>
      </c>
      <c r="B55" s="200" t="s">
        <v>136</v>
      </c>
      <c r="C55" s="210" t="s">
        <v>703</v>
      </c>
      <c r="D55" s="115" t="s">
        <v>704</v>
      </c>
    </row>
    <row r="56" spans="1:7" x14ac:dyDescent="0.25">
      <c r="A56" s="199">
        <v>5</v>
      </c>
      <c r="B56" s="200" t="s">
        <v>137</v>
      </c>
      <c r="C56" s="210" t="s">
        <v>26</v>
      </c>
      <c r="D56" s="233"/>
    </row>
    <row r="57" spans="1:7" x14ac:dyDescent="0.25">
      <c r="A57" s="199">
        <v>6</v>
      </c>
      <c r="B57" s="200" t="s">
        <v>139</v>
      </c>
      <c r="C57" s="210" t="s">
        <v>26</v>
      </c>
      <c r="D57" s="115" t="s">
        <v>705</v>
      </c>
    </row>
    <row r="58" spans="1:7" ht="15.75" thickBot="1" x14ac:dyDescent="0.3">
      <c r="A58" s="214">
        <v>7</v>
      </c>
      <c r="B58" s="215" t="s">
        <v>430</v>
      </c>
      <c r="C58" s="236" t="s">
        <v>43</v>
      </c>
      <c r="D58" t="s">
        <v>687</v>
      </c>
    </row>
    <row r="59" spans="1:7" ht="15.75" thickTop="1" x14ac:dyDescent="0.25">
      <c r="A59" s="218">
        <v>8</v>
      </c>
      <c r="B59" s="212" t="s">
        <v>503</v>
      </c>
      <c r="C59" s="273" t="s">
        <v>43</v>
      </c>
      <c r="D59" s="115"/>
    </row>
    <row r="60" spans="1:7" x14ac:dyDescent="0.25">
      <c r="A60" s="199">
        <v>9</v>
      </c>
      <c r="B60" s="200" t="s">
        <v>520</v>
      </c>
      <c r="C60" s="210" t="s">
        <v>26</v>
      </c>
      <c r="D60" s="233"/>
    </row>
    <row r="61" spans="1:7" x14ac:dyDescent="0.25">
      <c r="A61" s="204"/>
      <c r="B61" s="200" t="s">
        <v>536</v>
      </c>
      <c r="C61" s="125" t="s">
        <v>43</v>
      </c>
      <c r="D61" s="115"/>
    </row>
    <row r="62" spans="1:7" x14ac:dyDescent="0.25">
      <c r="A62" s="199"/>
      <c r="B62" s="200" t="s">
        <v>524</v>
      </c>
      <c r="C62" s="125" t="s">
        <v>26</v>
      </c>
      <c r="D62" s="233"/>
    </row>
    <row r="63" spans="1:7" x14ac:dyDescent="0.25">
      <c r="A63" s="199">
        <v>10</v>
      </c>
      <c r="B63" s="200" t="s">
        <v>98</v>
      </c>
      <c r="C63" s="210" t="s">
        <v>26</v>
      </c>
      <c r="D63" s="115"/>
    </row>
    <row r="64" spans="1:7" x14ac:dyDescent="0.25">
      <c r="A64" s="579" t="s">
        <v>76</v>
      </c>
      <c r="B64" s="580"/>
      <c r="C64" s="580"/>
      <c r="D64" s="232"/>
    </row>
    <row r="65" spans="1:7" ht="14.45" customHeight="1" x14ac:dyDescent="0.25">
      <c r="A65" s="522" t="s">
        <v>706</v>
      </c>
      <c r="B65" s="578"/>
      <c r="C65" s="578"/>
      <c r="D65" s="231"/>
      <c r="E65" s="209" t="s">
        <v>30</v>
      </c>
      <c r="F65" s="211" t="s">
        <v>26</v>
      </c>
      <c r="G65" s="208" t="s">
        <v>43</v>
      </c>
    </row>
    <row r="66" spans="1:7" x14ac:dyDescent="0.25">
      <c r="A66" s="199">
        <v>1</v>
      </c>
      <c r="B66" s="200" t="s">
        <v>151</v>
      </c>
      <c r="C66" s="207" t="s">
        <v>30</v>
      </c>
      <c r="D66" s="115"/>
      <c r="E66">
        <v>3</v>
      </c>
      <c r="F66" s="68">
        <v>5</v>
      </c>
      <c r="G66">
        <v>2</v>
      </c>
    </row>
    <row r="67" spans="1:7" x14ac:dyDescent="0.25">
      <c r="A67" s="199">
        <v>2</v>
      </c>
      <c r="B67" s="200" t="s">
        <v>153</v>
      </c>
      <c r="C67" s="210" t="s">
        <v>26</v>
      </c>
      <c r="D67" s="115"/>
      <c r="E67" s="68">
        <f>(E66/($E66+$F66+$G66))*100</f>
        <v>30</v>
      </c>
      <c r="F67" s="68">
        <f t="shared" ref="F67" si="14">(F66/($E66+$F66+$G66))*100</f>
        <v>50</v>
      </c>
      <c r="G67" s="68">
        <f t="shared" ref="G67" si="15">(G66/($E66+$F66+$G66))*100</f>
        <v>20</v>
      </c>
    </row>
    <row r="68" spans="1:7" x14ac:dyDescent="0.25">
      <c r="A68" s="199">
        <v>3</v>
      </c>
      <c r="B68" s="202" t="s">
        <v>154</v>
      </c>
      <c r="C68" s="210" t="s">
        <v>703</v>
      </c>
      <c r="D68" s="115" t="s">
        <v>705</v>
      </c>
    </row>
    <row r="69" spans="1:7" x14ac:dyDescent="0.25">
      <c r="A69" s="199">
        <v>4</v>
      </c>
      <c r="B69" s="200" t="s">
        <v>646</v>
      </c>
      <c r="C69" s="210" t="s">
        <v>26</v>
      </c>
      <c r="D69" s="115"/>
    </row>
    <row r="70" spans="1:7" x14ac:dyDescent="0.25">
      <c r="A70" s="199">
        <v>5</v>
      </c>
      <c r="B70" s="200" t="s">
        <v>161</v>
      </c>
      <c r="C70" s="210" t="s">
        <v>26</v>
      </c>
      <c r="D70" s="115"/>
    </row>
    <row r="71" spans="1:7" ht="15.75" thickBot="1" x14ac:dyDescent="0.3">
      <c r="A71" s="214">
        <v>6</v>
      </c>
      <c r="B71" s="215" t="s">
        <v>707</v>
      </c>
      <c r="C71" s="219" t="s">
        <v>30</v>
      </c>
      <c r="D71" s="115"/>
    </row>
    <row r="72" spans="1:7" ht="15.75" thickTop="1" x14ac:dyDescent="0.25">
      <c r="A72" s="203">
        <v>7</v>
      </c>
      <c r="B72" s="200" t="s">
        <v>496</v>
      </c>
      <c r="C72" s="210" t="s">
        <v>26</v>
      </c>
      <c r="D72" s="233"/>
    </row>
    <row r="73" spans="1:7" x14ac:dyDescent="0.25">
      <c r="A73" s="199">
        <v>8</v>
      </c>
      <c r="B73" s="200" t="s">
        <v>474</v>
      </c>
      <c r="C73" s="207" t="s">
        <v>30</v>
      </c>
      <c r="D73" s="115"/>
    </row>
    <row r="74" spans="1:7" x14ac:dyDescent="0.25">
      <c r="A74" s="199">
        <v>9</v>
      </c>
      <c r="B74" s="200" t="s">
        <v>708</v>
      </c>
      <c r="C74" s="272" t="s">
        <v>43</v>
      </c>
      <c r="D74" s="115"/>
    </row>
    <row r="75" spans="1:7" x14ac:dyDescent="0.25">
      <c r="A75" s="203"/>
      <c r="B75" s="200" t="s">
        <v>526</v>
      </c>
      <c r="C75" s="125" t="s">
        <v>26</v>
      </c>
      <c r="D75" s="233"/>
    </row>
    <row r="76" spans="1:7" x14ac:dyDescent="0.25">
      <c r="A76" s="199"/>
      <c r="B76" s="200" t="s">
        <v>527</v>
      </c>
      <c r="C76" s="125" t="s">
        <v>30</v>
      </c>
      <c r="D76" s="115"/>
    </row>
    <row r="77" spans="1:7" x14ac:dyDescent="0.25">
      <c r="A77" s="199"/>
      <c r="B77" s="200" t="s">
        <v>528</v>
      </c>
      <c r="C77" s="125" t="s">
        <v>43</v>
      </c>
      <c r="D77" s="115"/>
    </row>
    <row r="78" spans="1:7" x14ac:dyDescent="0.25">
      <c r="A78" s="199">
        <v>10</v>
      </c>
      <c r="B78" s="200" t="s">
        <v>165</v>
      </c>
      <c r="C78" s="272" t="s">
        <v>43</v>
      </c>
      <c r="D78" t="s">
        <v>687</v>
      </c>
    </row>
    <row r="79" spans="1:7" x14ac:dyDescent="0.25">
      <c r="A79" s="579" t="s">
        <v>101</v>
      </c>
      <c r="B79" s="580"/>
      <c r="C79" s="580"/>
      <c r="D79" s="232"/>
    </row>
    <row r="80" spans="1:7" ht="14.45" customHeight="1" x14ac:dyDescent="0.25">
      <c r="A80" s="522" t="s">
        <v>709</v>
      </c>
      <c r="B80" s="578"/>
      <c r="C80" s="578"/>
      <c r="D80" s="231"/>
      <c r="E80" s="209" t="s">
        <v>30</v>
      </c>
      <c r="F80" s="211" t="s">
        <v>26</v>
      </c>
      <c r="G80" s="208" t="s">
        <v>43</v>
      </c>
    </row>
    <row r="81" spans="1:7" x14ac:dyDescent="0.25">
      <c r="A81" s="199">
        <v>1</v>
      </c>
      <c r="B81" s="200" t="s">
        <v>168</v>
      </c>
      <c r="C81" s="207" t="s">
        <v>30</v>
      </c>
      <c r="D81" s="115"/>
      <c r="E81">
        <v>3</v>
      </c>
      <c r="F81" s="68">
        <v>6</v>
      </c>
      <c r="G81">
        <v>4</v>
      </c>
    </row>
    <row r="82" spans="1:7" x14ac:dyDescent="0.25">
      <c r="A82" s="199">
        <v>2</v>
      </c>
      <c r="B82" s="200" t="s">
        <v>170</v>
      </c>
      <c r="C82" s="210" t="s">
        <v>703</v>
      </c>
      <c r="D82" s="115"/>
      <c r="E82" s="68">
        <f>(E81/($E81+$F81+$G81))*100</f>
        <v>23.076923076923077</v>
      </c>
      <c r="F82" s="68">
        <f t="shared" ref="F82" si="16">(F81/($E81+$F81+$G81))*100</f>
        <v>46.153846153846153</v>
      </c>
      <c r="G82" s="68">
        <f t="shared" ref="G82" si="17">(G81/($E81+$F81+$G81))*100</f>
        <v>30.76923076923077</v>
      </c>
    </row>
    <row r="83" spans="1:7" x14ac:dyDescent="0.25">
      <c r="A83" s="199">
        <v>3</v>
      </c>
      <c r="B83" s="200" t="s">
        <v>172</v>
      </c>
      <c r="C83" s="210" t="s">
        <v>26</v>
      </c>
      <c r="D83" s="115"/>
    </row>
    <row r="84" spans="1:7" ht="23.45" customHeight="1" x14ac:dyDescent="0.25">
      <c r="A84" s="199">
        <v>4</v>
      </c>
      <c r="B84" s="276" t="s">
        <v>174</v>
      </c>
      <c r="C84" s="275" t="s">
        <v>43</v>
      </c>
      <c r="D84" s="115" t="s">
        <v>710</v>
      </c>
    </row>
    <row r="85" spans="1:7" ht="23.45" customHeight="1" x14ac:dyDescent="0.25">
      <c r="A85" s="199"/>
      <c r="B85" s="276" t="str">
        <f>plan_statystyki!C179</f>
        <v>Podstawy ratownictwa medycznego</v>
      </c>
      <c r="C85" s="275" t="s">
        <v>43</v>
      </c>
      <c r="D85" s="115"/>
    </row>
    <row r="86" spans="1:7" ht="15.75" thickBot="1" x14ac:dyDescent="0.3">
      <c r="A86" s="199">
        <v>5</v>
      </c>
      <c r="B86" s="216" t="s">
        <v>160</v>
      </c>
      <c r="C86" s="217" t="s">
        <v>26</v>
      </c>
      <c r="D86" s="115"/>
    </row>
    <row r="87" spans="1:7" ht="15.75" thickTop="1" x14ac:dyDescent="0.25">
      <c r="A87" s="199">
        <v>6</v>
      </c>
      <c r="B87" s="212" t="s">
        <v>521</v>
      </c>
      <c r="C87" s="273" t="s">
        <v>43</v>
      </c>
      <c r="D87" s="233"/>
    </row>
    <row r="88" spans="1:7" x14ac:dyDescent="0.25">
      <c r="A88" s="199">
        <v>7</v>
      </c>
      <c r="B88" s="200" t="s">
        <v>711</v>
      </c>
      <c r="C88" s="272" t="s">
        <v>43</v>
      </c>
      <c r="D88" s="233"/>
    </row>
    <row r="89" spans="1:7" x14ac:dyDescent="0.25">
      <c r="A89" s="199">
        <v>8</v>
      </c>
      <c r="B89" s="200" t="s">
        <v>518</v>
      </c>
      <c r="C89" s="210" t="s">
        <v>26</v>
      </c>
      <c r="D89" s="115"/>
    </row>
    <row r="90" spans="1:7" x14ac:dyDescent="0.25">
      <c r="A90" s="199">
        <v>9</v>
      </c>
      <c r="B90" s="200" t="s">
        <v>179</v>
      </c>
      <c r="C90" s="210" t="s">
        <v>26</v>
      </c>
      <c r="D90" s="115"/>
    </row>
    <row r="91" spans="1:7" x14ac:dyDescent="0.25">
      <c r="A91" s="203"/>
      <c r="B91" s="200" t="s">
        <v>534</v>
      </c>
      <c r="C91" s="125" t="s">
        <v>43</v>
      </c>
      <c r="D91" s="233"/>
    </row>
    <row r="92" spans="1:7" x14ac:dyDescent="0.25">
      <c r="A92" s="199"/>
      <c r="B92" s="200" t="s">
        <v>533</v>
      </c>
      <c r="C92" s="125" t="s">
        <v>43</v>
      </c>
      <c r="D92" s="233"/>
    </row>
    <row r="93" spans="1:7" x14ac:dyDescent="0.25">
      <c r="A93" s="203"/>
      <c r="B93" s="200" t="s">
        <v>712</v>
      </c>
      <c r="C93" s="125" t="s">
        <v>26</v>
      </c>
      <c r="D93" s="115"/>
    </row>
    <row r="94" spans="1:7" x14ac:dyDescent="0.25">
      <c r="A94" s="199"/>
      <c r="B94" s="200" t="s">
        <v>713</v>
      </c>
      <c r="C94" s="125" t="s">
        <v>26</v>
      </c>
      <c r="D94" s="115"/>
    </row>
    <row r="95" spans="1:7" x14ac:dyDescent="0.25">
      <c r="A95" s="199">
        <v>10</v>
      </c>
      <c r="B95" s="200" t="s">
        <v>165</v>
      </c>
      <c r="C95" s="207" t="s">
        <v>714</v>
      </c>
      <c r="D95" s="115" t="s">
        <v>714</v>
      </c>
    </row>
    <row r="96" spans="1:7" x14ac:dyDescent="0.25">
      <c r="A96" s="199">
        <v>11</v>
      </c>
      <c r="B96" s="205" t="s">
        <v>715</v>
      </c>
      <c r="C96" s="237" t="s">
        <v>26</v>
      </c>
      <c r="D96" s="234" t="s">
        <v>716</v>
      </c>
    </row>
    <row r="97" spans="1:7" x14ac:dyDescent="0.25">
      <c r="A97" s="199">
        <v>12</v>
      </c>
      <c r="B97" s="202" t="s">
        <v>188</v>
      </c>
      <c r="C97" s="207" t="s">
        <v>30</v>
      </c>
      <c r="D97" s="115"/>
    </row>
    <row r="98" spans="1:7" x14ac:dyDescent="0.25">
      <c r="A98" s="574" t="s">
        <v>101</v>
      </c>
      <c r="B98" s="575"/>
      <c r="C98" s="575"/>
      <c r="D98" s="235"/>
    </row>
    <row r="100" spans="1:7" x14ac:dyDescent="0.25">
      <c r="B100" s="8" t="s">
        <v>717</v>
      </c>
      <c r="E100" s="68"/>
      <c r="F100" s="68"/>
      <c r="G100" s="68"/>
    </row>
  </sheetData>
  <mergeCells count="13">
    <mergeCell ref="A98:C98"/>
    <mergeCell ref="J1:L1"/>
    <mergeCell ref="I1:I2"/>
    <mergeCell ref="A80:C80"/>
    <mergeCell ref="A79:C79"/>
    <mergeCell ref="A65:C65"/>
    <mergeCell ref="A64:C64"/>
    <mergeCell ref="A51:C51"/>
    <mergeCell ref="A50:C50"/>
    <mergeCell ref="A34:C34"/>
    <mergeCell ref="A33:C33"/>
    <mergeCell ref="A18:C18"/>
    <mergeCell ref="A1:C1"/>
  </mergeCells>
  <phoneticPr fontId="5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24"/>
  <sheetViews>
    <sheetView workbookViewId="0">
      <selection sqref="A1:I1"/>
    </sheetView>
  </sheetViews>
  <sheetFormatPr defaultRowHeight="15" x14ac:dyDescent="0.25"/>
  <cols>
    <col min="1" max="1" width="23" customWidth="1"/>
    <col min="2" max="2" width="24.28515625" customWidth="1"/>
    <col min="3" max="3" width="17.7109375" customWidth="1"/>
    <col min="4" max="4" width="11.85546875" customWidth="1"/>
    <col min="5" max="5" width="29.140625" customWidth="1"/>
    <col min="6" max="8" width="11.42578125" customWidth="1"/>
    <col min="10" max="10" width="3.5703125" customWidth="1"/>
    <col min="11" max="11" width="4.28515625" customWidth="1"/>
    <col min="12" max="12" width="15" customWidth="1"/>
    <col min="13" max="13" width="24.5703125" customWidth="1"/>
    <col min="18" max="19" width="9.42578125" customWidth="1"/>
    <col min="20" max="20" width="11.140625" customWidth="1"/>
  </cols>
  <sheetData>
    <row r="1" spans="1:25" ht="156.6" customHeight="1" x14ac:dyDescent="0.25">
      <c r="A1" s="588" t="s">
        <v>718</v>
      </c>
      <c r="B1" s="588"/>
      <c r="C1" s="588"/>
      <c r="D1" s="588"/>
      <c r="E1" s="588"/>
      <c r="F1" s="588"/>
      <c r="G1" s="588"/>
      <c r="H1" s="588"/>
      <c r="I1" s="588"/>
      <c r="L1" s="245"/>
      <c r="R1" s="55"/>
      <c r="S1" s="310"/>
      <c r="T1" s="310"/>
    </row>
    <row r="2" spans="1:25" ht="21.75" customHeight="1" x14ac:dyDescent="0.25">
      <c r="A2" s="589" t="s">
        <v>719</v>
      </c>
      <c r="B2" s="590" t="s">
        <v>720</v>
      </c>
      <c r="C2" s="589" t="s">
        <v>721</v>
      </c>
      <c r="D2" s="589" t="s">
        <v>722</v>
      </c>
      <c r="E2" s="181" t="s">
        <v>723</v>
      </c>
      <c r="F2" s="589" t="s">
        <v>724</v>
      </c>
      <c r="G2" s="589"/>
      <c r="H2" s="589"/>
      <c r="I2" s="589"/>
      <c r="L2" s="589" t="s">
        <v>719</v>
      </c>
      <c r="M2" s="582" t="s">
        <v>725</v>
      </c>
      <c r="N2" s="592" t="s">
        <v>724</v>
      </c>
      <c r="O2" s="593"/>
      <c r="P2" s="593"/>
      <c r="Q2" s="593"/>
      <c r="R2" s="593"/>
      <c r="S2" s="594"/>
      <c r="T2" s="131"/>
      <c r="U2" s="131"/>
      <c r="V2" s="131"/>
      <c r="W2" s="131"/>
      <c r="X2" s="131"/>
      <c r="Y2" s="131"/>
    </row>
    <row r="3" spans="1:25" ht="28.9" customHeight="1" x14ac:dyDescent="0.25">
      <c r="A3" s="589"/>
      <c r="B3" s="590"/>
      <c r="C3" s="589"/>
      <c r="D3" s="589"/>
      <c r="E3" s="181" t="s">
        <v>726</v>
      </c>
      <c r="F3" s="182" t="s">
        <v>546</v>
      </c>
      <c r="G3" s="182" t="s">
        <v>727</v>
      </c>
      <c r="H3" s="182" t="s">
        <v>728</v>
      </c>
      <c r="I3" s="182" t="s">
        <v>729</v>
      </c>
      <c r="L3" s="589"/>
      <c r="M3" s="583"/>
      <c r="N3" s="182" t="s">
        <v>546</v>
      </c>
      <c r="O3" s="182" t="s">
        <v>730</v>
      </c>
      <c r="P3" s="311" t="s">
        <v>731</v>
      </c>
      <c r="Q3" s="311" t="s">
        <v>732</v>
      </c>
      <c r="R3" s="311" t="s">
        <v>733</v>
      </c>
      <c r="S3" s="311" t="s">
        <v>733</v>
      </c>
      <c r="T3" s="131"/>
      <c r="U3" s="131"/>
      <c r="V3" s="131"/>
      <c r="W3" s="131"/>
      <c r="X3" s="131"/>
      <c r="Y3" s="131"/>
    </row>
    <row r="4" spans="1:25" ht="25.5" customHeight="1" x14ac:dyDescent="0.25">
      <c r="A4" s="589" t="s">
        <v>734</v>
      </c>
      <c r="B4" s="591">
        <f>plan_statystyki!D216</f>
        <v>2500</v>
      </c>
      <c r="C4" s="591">
        <f>plan_statystyki!F216</f>
        <v>180</v>
      </c>
      <c r="D4" s="589">
        <v>6</v>
      </c>
      <c r="E4" s="243">
        <f>plan_statystyki!D260</f>
        <v>4520</v>
      </c>
      <c r="F4" s="183">
        <f xml:space="preserve"> E4/6</f>
        <v>753.33333333333337</v>
      </c>
      <c r="G4" s="184">
        <f>F4/15</f>
        <v>50.222222222222221</v>
      </c>
      <c r="H4" s="184">
        <f>G4/5</f>
        <v>10.044444444444444</v>
      </c>
      <c r="I4" s="184">
        <f>G4/7</f>
        <v>7.1746031746031749</v>
      </c>
      <c r="L4" s="312" t="s">
        <v>734</v>
      </c>
      <c r="M4" s="308">
        <f>plan_statystyki!D216</f>
        <v>2500</v>
      </c>
      <c r="N4" s="183">
        <f xml:space="preserve"> M4/6</f>
        <v>416.66666666666669</v>
      </c>
      <c r="O4" s="184">
        <f>N4/15</f>
        <v>27.777777777777779</v>
      </c>
      <c r="P4" s="184">
        <f>O4/7</f>
        <v>3.9682539682539684</v>
      </c>
      <c r="Q4" s="184">
        <f>O4/5</f>
        <v>5.5555555555555554</v>
      </c>
      <c r="R4" s="309">
        <f>O4/3</f>
        <v>9.2592592592592595</v>
      </c>
      <c r="S4" s="309">
        <f>(R4*45)/60</f>
        <v>6.9444444444444446</v>
      </c>
      <c r="T4" s="131"/>
      <c r="U4" s="131"/>
      <c r="V4" s="131"/>
      <c r="W4" s="131"/>
      <c r="X4" s="131"/>
      <c r="Y4" s="131"/>
    </row>
    <row r="5" spans="1:25" ht="25.5" customHeight="1" x14ac:dyDescent="0.25">
      <c r="A5" s="589"/>
      <c r="B5" s="589"/>
      <c r="C5" s="589"/>
      <c r="D5" s="589"/>
      <c r="E5" s="243">
        <f>E4+62</f>
        <v>4582</v>
      </c>
      <c r="F5" s="183">
        <f xml:space="preserve"> E5/6</f>
        <v>763.66666666666663</v>
      </c>
      <c r="G5" s="184">
        <f>F5/15</f>
        <v>50.911111111111111</v>
      </c>
      <c r="H5" s="184">
        <f>G5/5</f>
        <v>10.182222222222222</v>
      </c>
      <c r="I5" s="184">
        <f>G5/7</f>
        <v>7.2730158730158729</v>
      </c>
      <c r="L5" s="131"/>
      <c r="R5" s="131"/>
      <c r="S5" s="131"/>
      <c r="T5" s="131"/>
      <c r="U5" s="131"/>
      <c r="V5" s="131"/>
      <c r="W5" s="131"/>
      <c r="X5" s="131"/>
      <c r="Y5" s="131"/>
    </row>
    <row r="6" spans="1:25" ht="18.75" customHeight="1" x14ac:dyDescent="0.25">
      <c r="A6" s="587" t="s">
        <v>735</v>
      </c>
      <c r="B6" s="587"/>
      <c r="C6" s="587"/>
      <c r="D6" s="587"/>
      <c r="E6" s="587"/>
      <c r="F6" s="587"/>
      <c r="G6" s="587"/>
      <c r="H6" s="587"/>
      <c r="I6" s="587"/>
      <c r="R6" s="324" t="s">
        <v>736</v>
      </c>
      <c r="S6" s="324" t="s">
        <v>737</v>
      </c>
      <c r="T6" s="131"/>
      <c r="U6" s="131"/>
      <c r="V6" s="131"/>
      <c r="W6" s="131"/>
      <c r="X6" s="131"/>
      <c r="Y6" s="131"/>
    </row>
    <row r="7" spans="1:25" ht="18.75" customHeight="1" x14ac:dyDescent="0.25">
      <c r="A7" s="585" t="s">
        <v>738</v>
      </c>
      <c r="B7" s="585"/>
      <c r="C7" s="585"/>
      <c r="D7" s="585"/>
      <c r="E7" s="585"/>
      <c r="F7" s="585"/>
      <c r="G7" s="585"/>
      <c r="H7" s="585"/>
      <c r="I7" s="585"/>
      <c r="R7" s="131"/>
      <c r="S7" s="131"/>
      <c r="T7" s="131"/>
      <c r="U7" s="131"/>
      <c r="V7" s="131"/>
      <c r="W7" s="131"/>
      <c r="X7" s="131"/>
      <c r="Y7" s="131"/>
    </row>
    <row r="8" spans="1:25" ht="18.75" customHeight="1" x14ac:dyDescent="0.25">
      <c r="A8" s="585" t="s">
        <v>739</v>
      </c>
      <c r="B8" s="585"/>
      <c r="C8" s="585"/>
      <c r="D8" s="585"/>
      <c r="E8" s="585"/>
      <c r="F8" s="585"/>
      <c r="G8" s="585"/>
      <c r="H8" s="585"/>
      <c r="I8" s="585"/>
      <c r="R8" s="322"/>
      <c r="S8" s="323"/>
      <c r="T8" s="131"/>
      <c r="U8" s="131"/>
      <c r="V8" s="131"/>
      <c r="W8" s="131"/>
      <c r="X8" s="131"/>
      <c r="Y8" s="131"/>
    </row>
    <row r="9" spans="1:25" ht="18.75" customHeight="1" x14ac:dyDescent="0.25">
      <c r="A9" s="585" t="s">
        <v>740</v>
      </c>
      <c r="B9" s="585"/>
      <c r="C9" s="585"/>
      <c r="D9" s="585"/>
      <c r="E9" s="585"/>
      <c r="F9" s="585"/>
      <c r="G9" s="585"/>
      <c r="H9" s="585"/>
      <c r="I9" s="585"/>
      <c r="R9" s="131"/>
      <c r="S9" s="131"/>
      <c r="T9" s="131"/>
      <c r="U9" s="131"/>
      <c r="V9" s="131"/>
      <c r="W9" s="131"/>
      <c r="X9" s="131"/>
      <c r="Y9" s="131"/>
    </row>
    <row r="10" spans="1:25" ht="18.75" customHeight="1" x14ac:dyDescent="0.25">
      <c r="A10" s="586" t="s">
        <v>741</v>
      </c>
      <c r="B10" s="586"/>
      <c r="C10" s="586"/>
      <c r="D10" s="586"/>
      <c r="E10" s="586"/>
      <c r="F10" s="586"/>
      <c r="G10" s="586"/>
      <c r="H10" s="586"/>
      <c r="I10" s="586"/>
      <c r="R10" s="131"/>
      <c r="S10" s="131"/>
      <c r="T10" s="131"/>
      <c r="U10" s="131"/>
      <c r="V10" s="131"/>
      <c r="W10" s="131"/>
      <c r="X10" s="131"/>
      <c r="Y10" s="131"/>
    </row>
    <row r="11" spans="1:25" ht="16.5" customHeight="1" x14ac:dyDescent="0.25">
      <c r="A11" s="185"/>
      <c r="B11" s="185"/>
      <c r="C11" s="185"/>
      <c r="D11" s="185"/>
      <c r="E11" s="185"/>
      <c r="F11" s="186"/>
      <c r="G11" s="187"/>
      <c r="H11" s="187"/>
      <c r="I11" s="187"/>
      <c r="R11" s="131"/>
      <c r="S11" s="131"/>
      <c r="T11" s="131"/>
      <c r="U11" s="131"/>
      <c r="V11" s="131"/>
      <c r="W11" s="131"/>
      <c r="X11" s="131"/>
      <c r="Y11" s="131"/>
    </row>
    <row r="12" spans="1:25" ht="25.5" customHeight="1" x14ac:dyDescent="0.25">
      <c r="A12" s="589" t="s">
        <v>719</v>
      </c>
      <c r="B12" s="589" t="s">
        <v>742</v>
      </c>
      <c r="C12" s="589" t="s">
        <v>721</v>
      </c>
      <c r="D12" s="589" t="s">
        <v>722</v>
      </c>
      <c r="E12" s="181" t="s">
        <v>723</v>
      </c>
      <c r="F12" s="592" t="s">
        <v>724</v>
      </c>
      <c r="G12" s="593"/>
      <c r="H12" s="593"/>
      <c r="I12" s="594"/>
      <c r="L12" s="589" t="s">
        <v>719</v>
      </c>
      <c r="M12" s="582" t="s">
        <v>743</v>
      </c>
      <c r="N12" s="592" t="s">
        <v>724</v>
      </c>
      <c r="O12" s="593"/>
      <c r="P12" s="593"/>
      <c r="Q12" s="593"/>
      <c r="R12" s="593"/>
      <c r="S12" s="594"/>
      <c r="T12" s="131"/>
      <c r="U12" s="131"/>
      <c r="V12" s="131"/>
      <c r="W12" s="131"/>
      <c r="X12" s="131"/>
      <c r="Y12" s="131"/>
    </row>
    <row r="13" spans="1:25" ht="31.9" customHeight="1" x14ac:dyDescent="0.25">
      <c r="A13" s="589"/>
      <c r="B13" s="589"/>
      <c r="C13" s="589"/>
      <c r="D13" s="589"/>
      <c r="E13" s="181" t="s">
        <v>744</v>
      </c>
      <c r="F13" s="182" t="s">
        <v>546</v>
      </c>
      <c r="G13" s="182" t="s">
        <v>727</v>
      </c>
      <c r="H13" s="182" t="s">
        <v>728</v>
      </c>
      <c r="I13" s="182" t="s">
        <v>729</v>
      </c>
      <c r="L13" s="589"/>
      <c r="M13" s="583"/>
      <c r="N13" s="182" t="s">
        <v>546</v>
      </c>
      <c r="O13" s="182" t="s">
        <v>730</v>
      </c>
      <c r="P13" s="311" t="s">
        <v>731</v>
      </c>
      <c r="Q13" s="311" t="s">
        <v>732</v>
      </c>
      <c r="R13" s="311" t="s">
        <v>733</v>
      </c>
      <c r="S13" s="311" t="s">
        <v>733</v>
      </c>
      <c r="T13" s="131"/>
      <c r="U13" s="131"/>
      <c r="V13" s="131"/>
      <c r="W13" s="131"/>
      <c r="X13" s="131"/>
      <c r="Y13" s="131"/>
    </row>
    <row r="14" spans="1:25" ht="25.5" customHeight="1" x14ac:dyDescent="0.25">
      <c r="A14" s="582" t="s">
        <v>745</v>
      </c>
      <c r="B14" s="584">
        <f>[1]plan_statystyki!D127</f>
        <v>1665</v>
      </c>
      <c r="C14" s="584">
        <f>[1]plan_statystyki!F127</f>
        <v>120</v>
      </c>
      <c r="D14" s="582">
        <v>4</v>
      </c>
      <c r="E14" s="243" t="e">
        <f>#REF!</f>
        <v>#REF!</v>
      </c>
      <c r="F14" s="183" t="e">
        <f xml:space="preserve"> E14/4</f>
        <v>#REF!</v>
      </c>
      <c r="G14" s="184" t="e">
        <f>F14/15</f>
        <v>#REF!</v>
      </c>
      <c r="H14" s="184" t="e">
        <f>G14/5</f>
        <v>#REF!</v>
      </c>
      <c r="I14" s="184" t="e">
        <f>G14/7</f>
        <v>#REF!</v>
      </c>
      <c r="L14" s="312" t="s">
        <v>745</v>
      </c>
      <c r="M14" s="308">
        <v>1665</v>
      </c>
      <c r="N14" s="183">
        <f xml:space="preserve"> M14/4</f>
        <v>416.25</v>
      </c>
      <c r="O14" s="184">
        <f>N14/15</f>
        <v>27.75</v>
      </c>
      <c r="P14" s="184">
        <f>O14/7</f>
        <v>3.9642857142857144</v>
      </c>
      <c r="Q14" s="184">
        <f>O14/5</f>
        <v>5.55</v>
      </c>
      <c r="R14" s="309">
        <f>O14/3</f>
        <v>9.25</v>
      </c>
      <c r="S14" s="309">
        <f>(R14*45)/60</f>
        <v>6.9375</v>
      </c>
      <c r="T14" s="131"/>
      <c r="U14" s="131"/>
      <c r="V14" s="131"/>
      <c r="W14" s="131"/>
      <c r="X14" s="131"/>
      <c r="Y14" s="131"/>
    </row>
    <row r="15" spans="1:25" ht="25.5" customHeight="1" x14ac:dyDescent="0.25">
      <c r="A15" s="583"/>
      <c r="B15" s="583"/>
      <c r="C15" s="583"/>
      <c r="D15" s="583"/>
      <c r="E15" s="243" t="e">
        <f>#REF!</f>
        <v>#REF!</v>
      </c>
      <c r="F15" s="183" t="e">
        <f xml:space="preserve"> E15/4</f>
        <v>#REF!</v>
      </c>
      <c r="G15" s="184" t="e">
        <f>F15/15</f>
        <v>#REF!</v>
      </c>
      <c r="H15" s="184" t="e">
        <f>G15/5</f>
        <v>#REF!</v>
      </c>
      <c r="I15" s="184" t="e">
        <f>G15/7</f>
        <v>#REF!</v>
      </c>
      <c r="L15" s="131"/>
      <c r="R15" s="131"/>
      <c r="S15" s="131"/>
      <c r="T15" s="131"/>
      <c r="U15" s="131"/>
      <c r="V15" s="131"/>
      <c r="W15" s="131"/>
      <c r="X15" s="131"/>
      <c r="Y15" s="131"/>
    </row>
    <row r="16" spans="1:25" ht="18" customHeight="1" x14ac:dyDescent="0.25">
      <c r="A16" s="587" t="s">
        <v>746</v>
      </c>
      <c r="B16" s="587"/>
      <c r="C16" s="587"/>
      <c r="D16" s="587"/>
      <c r="E16" s="587"/>
      <c r="F16" s="587"/>
      <c r="G16" s="587"/>
      <c r="H16" s="587"/>
      <c r="I16" s="587"/>
      <c r="R16" s="324" t="s">
        <v>736</v>
      </c>
      <c r="S16" s="324" t="s">
        <v>737</v>
      </c>
      <c r="T16" s="131"/>
      <c r="V16" s="187" t="s">
        <v>747</v>
      </c>
      <c r="W16" s="131"/>
      <c r="X16" s="131"/>
      <c r="Y16" s="131"/>
    </row>
    <row r="17" spans="1:25" ht="18" customHeight="1" x14ac:dyDescent="0.25">
      <c r="A17" s="585" t="s">
        <v>738</v>
      </c>
      <c r="B17" s="585"/>
      <c r="C17" s="585"/>
      <c r="D17" s="585"/>
      <c r="E17" s="585"/>
      <c r="F17" s="585"/>
      <c r="G17" s="585"/>
      <c r="H17" s="585"/>
      <c r="I17" s="585"/>
      <c r="R17" s="131"/>
      <c r="S17" s="131"/>
      <c r="T17" s="131"/>
      <c r="U17" s="131"/>
      <c r="V17" s="131"/>
      <c r="W17" s="131"/>
      <c r="X17" s="131"/>
      <c r="Y17" s="131"/>
    </row>
    <row r="18" spans="1:25" ht="18" customHeight="1" x14ac:dyDescent="0.25">
      <c r="A18" s="585" t="s">
        <v>739</v>
      </c>
      <c r="B18" s="585"/>
      <c r="C18" s="585"/>
      <c r="D18" s="585"/>
      <c r="E18" s="585"/>
      <c r="F18" s="585"/>
      <c r="G18" s="585"/>
      <c r="H18" s="585"/>
      <c r="I18" s="585"/>
      <c r="R18" s="131"/>
      <c r="S18" s="131"/>
      <c r="T18" s="131"/>
      <c r="U18" s="131"/>
      <c r="V18" s="131"/>
      <c r="W18" s="131"/>
      <c r="X18" s="131"/>
      <c r="Y18" s="131"/>
    </row>
    <row r="19" spans="1:25" ht="18" customHeight="1" x14ac:dyDescent="0.25">
      <c r="A19" s="585" t="s">
        <v>740</v>
      </c>
      <c r="B19" s="585"/>
      <c r="C19" s="585"/>
      <c r="D19" s="585"/>
      <c r="E19" s="585"/>
      <c r="F19" s="585"/>
      <c r="G19" s="585"/>
      <c r="H19" s="585"/>
      <c r="I19" s="585"/>
      <c r="R19" s="131"/>
      <c r="S19" s="131"/>
      <c r="T19" s="131"/>
      <c r="U19" s="131"/>
      <c r="V19" s="180"/>
      <c r="W19" s="180"/>
      <c r="X19" s="131"/>
      <c r="Y19" s="131"/>
    </row>
    <row r="20" spans="1:25" ht="18" customHeight="1" x14ac:dyDescent="0.25">
      <c r="A20" s="586" t="s">
        <v>741</v>
      </c>
      <c r="B20" s="586"/>
      <c r="C20" s="586"/>
      <c r="D20" s="586"/>
      <c r="E20" s="586"/>
      <c r="F20" s="586"/>
      <c r="G20" s="586"/>
      <c r="H20" s="586"/>
      <c r="I20" s="586"/>
      <c r="L20" s="581"/>
      <c r="M20" s="581"/>
      <c r="N20" s="581"/>
      <c r="O20" s="581"/>
      <c r="P20" s="581"/>
      <c r="Q20" s="581"/>
      <c r="R20" s="581"/>
      <c r="S20" s="581"/>
      <c r="T20" s="131"/>
      <c r="U20" s="131"/>
      <c r="V20" s="180"/>
      <c r="W20" s="180"/>
      <c r="X20" s="131"/>
      <c r="Y20" s="131"/>
    </row>
    <row r="21" spans="1:25" x14ac:dyDescent="0.25">
      <c r="L21" s="581"/>
      <c r="M21" s="581"/>
      <c r="N21" s="185"/>
      <c r="O21" s="185"/>
      <c r="P21" s="325"/>
      <c r="Q21" s="325"/>
      <c r="R21" s="325"/>
      <c r="S21" s="325"/>
      <c r="T21" s="131"/>
      <c r="U21" s="131"/>
      <c r="V21" s="131"/>
      <c r="W21" s="131"/>
      <c r="X21" s="131"/>
      <c r="Y21" s="131"/>
    </row>
    <row r="22" spans="1:25" x14ac:dyDescent="0.25">
      <c r="L22" s="326"/>
      <c r="M22" s="327"/>
      <c r="N22" s="186"/>
      <c r="O22" s="328"/>
      <c r="P22" s="328"/>
      <c r="Q22" s="328"/>
      <c r="R22" s="329"/>
      <c r="S22" s="329"/>
    </row>
    <row r="23" spans="1:25" x14ac:dyDescent="0.25">
      <c r="L23" s="131"/>
      <c r="R23" s="131"/>
      <c r="S23" s="131"/>
    </row>
    <row r="24" spans="1:25" x14ac:dyDescent="0.25">
      <c r="R24" s="324"/>
      <c r="S24" s="324"/>
    </row>
  </sheetData>
  <mergeCells count="38">
    <mergeCell ref="L2:L3"/>
    <mergeCell ref="M2:M3"/>
    <mergeCell ref="L12:L13"/>
    <mergeCell ref="M12:M13"/>
    <mergeCell ref="N2:S2"/>
    <mergeCell ref="N12:S12"/>
    <mergeCell ref="A8:I8"/>
    <mergeCell ref="A7:I7"/>
    <mergeCell ref="A9:I9"/>
    <mergeCell ref="A10:I10"/>
    <mergeCell ref="A12:A13"/>
    <mergeCell ref="B12:B13"/>
    <mergeCell ref="C12:C13"/>
    <mergeCell ref="D12:D13"/>
    <mergeCell ref="F12:I12"/>
    <mergeCell ref="A4:A5"/>
    <mergeCell ref="B4:B5"/>
    <mergeCell ref="C4:C5"/>
    <mergeCell ref="D4:D5"/>
    <mergeCell ref="A6:I6"/>
    <mergeCell ref="A1:I1"/>
    <mergeCell ref="D2:D3"/>
    <mergeCell ref="C2:C3"/>
    <mergeCell ref="B2:B3"/>
    <mergeCell ref="A2:A3"/>
    <mergeCell ref="F2:I2"/>
    <mergeCell ref="L20:L21"/>
    <mergeCell ref="M20:M21"/>
    <mergeCell ref="N20:S20"/>
    <mergeCell ref="A14:A15"/>
    <mergeCell ref="B14:B15"/>
    <mergeCell ref="C14:C15"/>
    <mergeCell ref="D14:D15"/>
    <mergeCell ref="A19:I19"/>
    <mergeCell ref="A20:I20"/>
    <mergeCell ref="A16:I16"/>
    <mergeCell ref="A17:I17"/>
    <mergeCell ref="A18:I18"/>
  </mergeCells>
  <pageMargins left="0.25" right="0.25" top="0.75" bottom="0.75" header="0.3" footer="0.3"/>
  <pageSetup paperSize="9" scale="86" fitToWidth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3"/>
  <sheetViews>
    <sheetView topLeftCell="A6" workbookViewId="0">
      <selection activeCell="J20" sqref="J20"/>
    </sheetView>
  </sheetViews>
  <sheetFormatPr defaultRowHeight="15" x14ac:dyDescent="0.25"/>
  <cols>
    <col min="1" max="1" width="17.7109375" customWidth="1"/>
    <col min="2" max="2" width="9.140625" customWidth="1"/>
    <col min="3" max="3" width="6.85546875" customWidth="1"/>
    <col min="4" max="4" width="9.140625" customWidth="1"/>
    <col min="5" max="5" width="6.85546875" customWidth="1"/>
    <col min="6" max="6" width="9.140625" customWidth="1"/>
    <col min="7" max="7" width="6.85546875" customWidth="1"/>
    <col min="8" max="8" width="9.140625" customWidth="1"/>
    <col min="9" max="9" width="6.85546875" customWidth="1"/>
    <col min="10" max="10" width="9.140625" customWidth="1"/>
    <col min="11" max="11" width="6.85546875" customWidth="1"/>
    <col min="12" max="12" width="9.140625" customWidth="1"/>
    <col min="13" max="13" width="6.85546875" customWidth="1"/>
    <col min="14" max="14" width="9.140625" customWidth="1"/>
    <col min="15" max="15" width="6.85546875" customWidth="1"/>
    <col min="18" max="18" width="9.85546875" bestFit="1" customWidth="1"/>
  </cols>
  <sheetData>
    <row r="1" spans="1:19" ht="30" customHeight="1" x14ac:dyDescent="0.25">
      <c r="A1" s="595" t="s">
        <v>748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7"/>
    </row>
    <row r="2" spans="1:19" ht="27.75" customHeight="1" x14ac:dyDescent="0.25">
      <c r="A2" s="598" t="s">
        <v>749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600"/>
    </row>
    <row r="3" spans="1:19" ht="31.5" customHeight="1" x14ac:dyDescent="0.25">
      <c r="A3" s="601" t="s">
        <v>750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</row>
    <row r="4" spans="1:19" ht="38.25" x14ac:dyDescent="0.25">
      <c r="A4" s="81"/>
      <c r="B4" s="82" t="s">
        <v>751</v>
      </c>
      <c r="C4" s="83" t="s">
        <v>752</v>
      </c>
      <c r="D4" s="82" t="s">
        <v>8</v>
      </c>
      <c r="E4" s="84" t="s">
        <v>752</v>
      </c>
      <c r="F4" s="82" t="s">
        <v>753</v>
      </c>
      <c r="G4" s="83" t="s">
        <v>752</v>
      </c>
      <c r="H4" s="82" t="s">
        <v>80</v>
      </c>
      <c r="I4" s="106" t="s">
        <v>752</v>
      </c>
      <c r="J4" s="82" t="s">
        <v>754</v>
      </c>
      <c r="K4" s="106" t="s">
        <v>752</v>
      </c>
      <c r="L4" s="82" t="s">
        <v>17</v>
      </c>
      <c r="M4" s="106" t="s">
        <v>752</v>
      </c>
      <c r="N4" s="82" t="s">
        <v>18</v>
      </c>
      <c r="O4" s="106" t="s">
        <v>752</v>
      </c>
      <c r="R4" s="95" t="s">
        <v>755</v>
      </c>
      <c r="S4" s="95" t="s">
        <v>205</v>
      </c>
    </row>
    <row r="5" spans="1:19" ht="22.5" customHeight="1" x14ac:dyDescent="0.25">
      <c r="A5" s="85" t="s">
        <v>212</v>
      </c>
      <c r="B5" s="92">
        <f>plan_statystyki!D210</f>
        <v>430</v>
      </c>
      <c r="C5" s="93">
        <f>plan_statystyki!E210</f>
        <v>17.2</v>
      </c>
      <c r="D5" s="92">
        <f>plan_statystyki!F210</f>
        <v>30</v>
      </c>
      <c r="E5" s="94">
        <f>plan_statystyki!G210</f>
        <v>16.666666666666664</v>
      </c>
      <c r="F5" s="92">
        <f>plan_statystyki!H210</f>
        <v>100</v>
      </c>
      <c r="G5" s="93">
        <f>plan_statystyki!I210</f>
        <v>4</v>
      </c>
      <c r="H5" s="92">
        <f>plan_statystyki!J210</f>
        <v>135</v>
      </c>
      <c r="I5" s="107">
        <f>plan_statystyki!K210</f>
        <v>5.4</v>
      </c>
      <c r="J5" s="92">
        <f>plan_statystyki!L210</f>
        <v>195</v>
      </c>
      <c r="K5" s="107">
        <f>plan_statystyki!M210</f>
        <v>7.8</v>
      </c>
      <c r="L5" s="107">
        <f>plan_statystyki!N210</f>
        <v>0</v>
      </c>
      <c r="M5" s="107">
        <f>plan_statystyki!O210</f>
        <v>0</v>
      </c>
      <c r="N5" s="92">
        <f>plan_statystyki!P210</f>
        <v>0</v>
      </c>
      <c r="O5" s="107">
        <f>plan_statystyki!Q210</f>
        <v>0</v>
      </c>
      <c r="R5" s="68">
        <f>SUM(F5,H5,J5,L5,N5)</f>
        <v>430</v>
      </c>
      <c r="S5" s="68">
        <f>SUM(G5,I5,K5,M5,O5)</f>
        <v>17.2</v>
      </c>
    </row>
    <row r="6" spans="1:19" ht="22.5" customHeight="1" x14ac:dyDescent="0.25">
      <c r="A6" s="86" t="s">
        <v>213</v>
      </c>
      <c r="B6" s="92">
        <f>plan_statystyki!D211</f>
        <v>420</v>
      </c>
      <c r="C6" s="93">
        <f>plan_statystyki!E211</f>
        <v>16.8</v>
      </c>
      <c r="D6" s="92">
        <f>plan_statystyki!F211</f>
        <v>30</v>
      </c>
      <c r="E6" s="94">
        <f>plan_statystyki!G211</f>
        <v>16.666666666666664</v>
      </c>
      <c r="F6" s="92">
        <f>plan_statystyki!H211</f>
        <v>45</v>
      </c>
      <c r="G6" s="93">
        <f>plan_statystyki!I211</f>
        <v>1.7999999999999998</v>
      </c>
      <c r="H6" s="92">
        <f>plan_statystyki!J211</f>
        <v>120</v>
      </c>
      <c r="I6" s="107">
        <f>plan_statystyki!K211</f>
        <v>4.8</v>
      </c>
      <c r="J6" s="92">
        <f>plan_statystyki!L211</f>
        <v>180</v>
      </c>
      <c r="K6" s="107">
        <f>plan_statystyki!M211</f>
        <v>7.1999999999999993</v>
      </c>
      <c r="L6" s="107">
        <f>plan_statystyki!N211</f>
        <v>0</v>
      </c>
      <c r="M6" s="107">
        <f>plan_statystyki!O211</f>
        <v>0</v>
      </c>
      <c r="N6" s="92">
        <f>plan_statystyki!P211</f>
        <v>75</v>
      </c>
      <c r="O6" s="107">
        <f>plan_statystyki!Q211</f>
        <v>3</v>
      </c>
      <c r="R6" s="68">
        <f t="shared" ref="R6:R14" si="0">SUM(F6,H6,J6,L6,N6)</f>
        <v>420</v>
      </c>
      <c r="S6" s="68">
        <f t="shared" ref="S6:S14" si="1">SUM(G6,I6,K6,M6,O6)</f>
        <v>16.799999999999997</v>
      </c>
    </row>
    <row r="7" spans="1:19" ht="22.5" customHeight="1" x14ac:dyDescent="0.25">
      <c r="A7" s="86" t="s">
        <v>214</v>
      </c>
      <c r="B7" s="92">
        <f>plan_statystyki!D212</f>
        <v>420</v>
      </c>
      <c r="C7" s="93">
        <f>plan_statystyki!E212</f>
        <v>16.8</v>
      </c>
      <c r="D7" s="92">
        <f>plan_statystyki!F212</f>
        <v>30</v>
      </c>
      <c r="E7" s="94">
        <f>plan_statystyki!G212</f>
        <v>16.666666666666664</v>
      </c>
      <c r="F7" s="92">
        <f>plan_statystyki!H212</f>
        <v>85</v>
      </c>
      <c r="G7" s="93">
        <f>plan_statystyki!I212</f>
        <v>3.4000000000000004</v>
      </c>
      <c r="H7" s="92">
        <f>plan_statystyki!J212</f>
        <v>160</v>
      </c>
      <c r="I7" s="107">
        <f>plan_statystyki!K212</f>
        <v>6.4</v>
      </c>
      <c r="J7" s="92">
        <f>plan_statystyki!L212</f>
        <v>175</v>
      </c>
      <c r="K7" s="107">
        <f>plan_statystyki!M212</f>
        <v>7.0000000000000009</v>
      </c>
      <c r="L7" s="107">
        <f>plan_statystyki!N212</f>
        <v>0</v>
      </c>
      <c r="M7" s="107">
        <f>plan_statystyki!O212</f>
        <v>0</v>
      </c>
      <c r="N7" s="92">
        <f>plan_statystyki!P212</f>
        <v>0</v>
      </c>
      <c r="O7" s="107">
        <f>plan_statystyki!Q212</f>
        <v>0</v>
      </c>
      <c r="R7" s="68">
        <f t="shared" si="0"/>
        <v>420</v>
      </c>
      <c r="S7" s="68">
        <f t="shared" si="1"/>
        <v>16.8</v>
      </c>
    </row>
    <row r="8" spans="1:19" ht="22.5" customHeight="1" x14ac:dyDescent="0.25">
      <c r="A8" s="86" t="s">
        <v>215</v>
      </c>
      <c r="B8" s="92">
        <f>plan_statystyki!D213</f>
        <v>435</v>
      </c>
      <c r="C8" s="93">
        <f>plan_statystyki!E213</f>
        <v>17.399999999999999</v>
      </c>
      <c r="D8" s="92">
        <f>plan_statystyki!F213</f>
        <v>30</v>
      </c>
      <c r="E8" s="94">
        <f>plan_statystyki!G213</f>
        <v>16.666666666666664</v>
      </c>
      <c r="F8" s="92">
        <f>plan_statystyki!H213</f>
        <v>50</v>
      </c>
      <c r="G8" s="93">
        <f>plan_statystyki!I213</f>
        <v>2</v>
      </c>
      <c r="H8" s="92">
        <f>plan_statystyki!J213</f>
        <v>105</v>
      </c>
      <c r="I8" s="107">
        <f>plan_statystyki!K213</f>
        <v>4.2</v>
      </c>
      <c r="J8" s="92">
        <f>plan_statystyki!L213</f>
        <v>205</v>
      </c>
      <c r="K8" s="107">
        <f>plan_statystyki!M213</f>
        <v>8.2000000000000011</v>
      </c>
      <c r="L8" s="107">
        <f>plan_statystyki!N213</f>
        <v>0</v>
      </c>
      <c r="M8" s="107">
        <f>plan_statystyki!O213</f>
        <v>0</v>
      </c>
      <c r="N8" s="92">
        <f>plan_statystyki!P213</f>
        <v>75</v>
      </c>
      <c r="O8" s="107">
        <f>plan_statystyki!Q213</f>
        <v>3</v>
      </c>
      <c r="R8" s="68">
        <f t="shared" si="0"/>
        <v>435</v>
      </c>
      <c r="S8" s="68">
        <f t="shared" si="1"/>
        <v>17.400000000000002</v>
      </c>
    </row>
    <row r="9" spans="1:19" ht="22.5" customHeight="1" x14ac:dyDescent="0.25">
      <c r="A9" s="86" t="s">
        <v>216</v>
      </c>
      <c r="B9" s="92">
        <f>plan_statystyki!D214</f>
        <v>435</v>
      </c>
      <c r="C9" s="93">
        <f>plan_statystyki!E214</f>
        <v>17.399999999999999</v>
      </c>
      <c r="D9" s="92">
        <f>plan_statystyki!F214</f>
        <v>30</v>
      </c>
      <c r="E9" s="94">
        <f>plan_statystyki!G214</f>
        <v>16.666666666666664</v>
      </c>
      <c r="F9" s="92">
        <f>plan_statystyki!H214</f>
        <v>55</v>
      </c>
      <c r="G9" s="93">
        <f>plan_statystyki!I214</f>
        <v>2.1999999999999997</v>
      </c>
      <c r="H9" s="92">
        <f>plan_statystyki!J214</f>
        <v>80</v>
      </c>
      <c r="I9" s="107">
        <f>plan_statystyki!K214</f>
        <v>3.2</v>
      </c>
      <c r="J9" s="92">
        <f>plan_statystyki!L214</f>
        <v>200</v>
      </c>
      <c r="K9" s="107">
        <f>plan_statystyki!M214</f>
        <v>8</v>
      </c>
      <c r="L9" s="107">
        <f>plan_statystyki!N214</f>
        <v>100</v>
      </c>
      <c r="M9" s="107">
        <f>plan_statystyki!O214</f>
        <v>4</v>
      </c>
      <c r="N9" s="92">
        <f>plan_statystyki!P214</f>
        <v>0</v>
      </c>
      <c r="O9" s="107">
        <f>plan_statystyki!Q214</f>
        <v>0</v>
      </c>
      <c r="R9" s="68">
        <f t="shared" si="0"/>
        <v>435</v>
      </c>
      <c r="S9" s="68">
        <f t="shared" si="1"/>
        <v>17.399999999999999</v>
      </c>
    </row>
    <row r="10" spans="1:19" ht="22.5" customHeight="1" x14ac:dyDescent="0.25">
      <c r="A10" s="86" t="s">
        <v>218</v>
      </c>
      <c r="B10" s="92">
        <f>plan_statystyki!D215</f>
        <v>360</v>
      </c>
      <c r="C10" s="93">
        <f>plan_statystyki!E215</f>
        <v>14.399999999999999</v>
      </c>
      <c r="D10" s="92">
        <f>plan_statystyki!F215</f>
        <v>30</v>
      </c>
      <c r="E10" s="94">
        <f>plan_statystyki!G215</f>
        <v>16.666666666666664</v>
      </c>
      <c r="F10" s="92">
        <f>plan_statystyki!H215</f>
        <v>45</v>
      </c>
      <c r="G10" s="93">
        <f>plan_statystyki!I215</f>
        <v>1.7999999999999998</v>
      </c>
      <c r="H10" s="92">
        <f>plan_statystyki!J215</f>
        <v>50</v>
      </c>
      <c r="I10" s="107">
        <f>plan_statystyki!K215</f>
        <v>2</v>
      </c>
      <c r="J10" s="92">
        <f>plan_statystyki!L215</f>
        <v>165</v>
      </c>
      <c r="K10" s="107">
        <f>plan_statystyki!M215</f>
        <v>6.6000000000000005</v>
      </c>
      <c r="L10" s="107">
        <f>plan_statystyki!N215</f>
        <v>100</v>
      </c>
      <c r="M10" s="107">
        <f>plan_statystyki!O215</f>
        <v>4</v>
      </c>
      <c r="N10" s="92">
        <f>plan_statystyki!P215</f>
        <v>0</v>
      </c>
      <c r="O10" s="107">
        <f>plan_statystyki!Q215</f>
        <v>0</v>
      </c>
      <c r="R10" s="68">
        <f t="shared" si="0"/>
        <v>360</v>
      </c>
      <c r="S10" s="68">
        <f t="shared" si="1"/>
        <v>14.4</v>
      </c>
    </row>
    <row r="11" spans="1:19" ht="27" customHeight="1" x14ac:dyDescent="0.25">
      <c r="A11" s="13" t="s">
        <v>222</v>
      </c>
      <c r="B11" s="108">
        <f>plan_statystyki!D216</f>
        <v>2500</v>
      </c>
      <c r="C11" s="108">
        <f>plan_statystyki!E216</f>
        <v>100</v>
      </c>
      <c r="D11" s="108">
        <f>plan_statystyki!F216</f>
        <v>180</v>
      </c>
      <c r="E11" s="109">
        <f>plan_statystyki!G216</f>
        <v>100</v>
      </c>
      <c r="F11" s="108">
        <f>plan_statystyki!H216</f>
        <v>380</v>
      </c>
      <c r="G11" s="130">
        <f>plan_statystyki!I216</f>
        <v>15.2</v>
      </c>
      <c r="H11" s="108">
        <f>plan_statystyki!J216</f>
        <v>650</v>
      </c>
      <c r="I11" s="130">
        <f>plan_statystyki!K216</f>
        <v>26</v>
      </c>
      <c r="J11" s="108">
        <f>plan_statystyki!L216</f>
        <v>1120</v>
      </c>
      <c r="K11" s="130">
        <f>plan_statystyki!M216</f>
        <v>44.800000000000004</v>
      </c>
      <c r="L11" s="108">
        <f>plan_statystyki!N216</f>
        <v>200</v>
      </c>
      <c r="M11" s="130">
        <f>plan_statystyki!O216</f>
        <v>8</v>
      </c>
      <c r="N11" s="108">
        <f>plan_statystyki!P216</f>
        <v>150</v>
      </c>
      <c r="O11" s="130">
        <f>plan_statystyki!Q216</f>
        <v>6</v>
      </c>
      <c r="R11" s="68">
        <f t="shared" si="0"/>
        <v>2500</v>
      </c>
      <c r="S11" s="68">
        <f t="shared" si="1"/>
        <v>100</v>
      </c>
    </row>
    <row r="12" spans="1:19" ht="22.5" customHeight="1" x14ac:dyDescent="0.25">
      <c r="A12" s="87" t="s">
        <v>226</v>
      </c>
      <c r="B12" s="92">
        <f>plan_statystyki!D217</f>
        <v>850</v>
      </c>
      <c r="C12" s="93">
        <f>plan_statystyki!E217</f>
        <v>34</v>
      </c>
      <c r="D12" s="92">
        <f>plan_statystyki!F217</f>
        <v>60</v>
      </c>
      <c r="E12" s="94">
        <f>plan_statystyki!G217</f>
        <v>33.333333333333329</v>
      </c>
      <c r="F12" s="92">
        <f>plan_statystyki!H217</f>
        <v>145</v>
      </c>
      <c r="G12" s="93">
        <f>plan_statystyki!I217</f>
        <v>5.8000000000000007</v>
      </c>
      <c r="H12" s="92">
        <f>plan_statystyki!J217</f>
        <v>255</v>
      </c>
      <c r="I12" s="107">
        <f>plan_statystyki!K217</f>
        <v>10.199999999999999</v>
      </c>
      <c r="J12" s="92">
        <f>plan_statystyki!L217</f>
        <v>375</v>
      </c>
      <c r="K12" s="107">
        <f>plan_statystyki!M217</f>
        <v>15</v>
      </c>
      <c r="L12" s="107">
        <f>plan_statystyki!N217</f>
        <v>0</v>
      </c>
      <c r="M12" s="107">
        <f>plan_statystyki!O217</f>
        <v>0</v>
      </c>
      <c r="N12" s="92">
        <f>plan_statystyki!P217</f>
        <v>75</v>
      </c>
      <c r="O12" s="107">
        <f>plan_statystyki!Q217</f>
        <v>3</v>
      </c>
      <c r="R12" s="68">
        <f t="shared" si="0"/>
        <v>850</v>
      </c>
      <c r="S12" s="68">
        <f t="shared" si="1"/>
        <v>34</v>
      </c>
    </row>
    <row r="13" spans="1:19" ht="22.5" customHeight="1" x14ac:dyDescent="0.25">
      <c r="A13" s="87" t="s">
        <v>227</v>
      </c>
      <c r="B13" s="92">
        <f>plan_statystyki!D218</f>
        <v>855</v>
      </c>
      <c r="C13" s="93">
        <f>plan_statystyki!E218</f>
        <v>34.200000000000003</v>
      </c>
      <c r="D13" s="92">
        <f>plan_statystyki!F218</f>
        <v>60</v>
      </c>
      <c r="E13" s="94">
        <f>plan_statystyki!G218</f>
        <v>33.333333333333329</v>
      </c>
      <c r="F13" s="92">
        <f>plan_statystyki!H218</f>
        <v>135</v>
      </c>
      <c r="G13" s="93">
        <f>plan_statystyki!I218</f>
        <v>5.4</v>
      </c>
      <c r="H13" s="92">
        <f>plan_statystyki!J218</f>
        <v>265</v>
      </c>
      <c r="I13" s="107">
        <f>plan_statystyki!K218</f>
        <v>10.6</v>
      </c>
      <c r="J13" s="92">
        <f>plan_statystyki!L218</f>
        <v>380</v>
      </c>
      <c r="K13" s="107">
        <f>plan_statystyki!M218</f>
        <v>15.2</v>
      </c>
      <c r="L13" s="107">
        <f>plan_statystyki!N218</f>
        <v>0</v>
      </c>
      <c r="M13" s="107">
        <f>plan_statystyki!O218</f>
        <v>0</v>
      </c>
      <c r="N13" s="92">
        <f>plan_statystyki!P218</f>
        <v>75</v>
      </c>
      <c r="O13" s="107">
        <f>plan_statystyki!Q218</f>
        <v>3</v>
      </c>
      <c r="R13" s="68">
        <f t="shared" si="0"/>
        <v>855</v>
      </c>
      <c r="S13" s="68">
        <f t="shared" si="1"/>
        <v>34.200000000000003</v>
      </c>
    </row>
    <row r="14" spans="1:19" ht="22.5" customHeight="1" x14ac:dyDescent="0.25">
      <c r="A14" s="87" t="s">
        <v>231</v>
      </c>
      <c r="B14" s="92">
        <f>plan_statystyki!D219</f>
        <v>795</v>
      </c>
      <c r="C14" s="93">
        <f>plan_statystyki!E219</f>
        <v>31.8</v>
      </c>
      <c r="D14" s="92">
        <f>plan_statystyki!F219</f>
        <v>60</v>
      </c>
      <c r="E14" s="94">
        <f>plan_statystyki!G219</f>
        <v>33.333333333333329</v>
      </c>
      <c r="F14" s="92">
        <f>plan_statystyki!H219</f>
        <v>100</v>
      </c>
      <c r="G14" s="93">
        <f>plan_statystyki!I219</f>
        <v>4</v>
      </c>
      <c r="H14" s="92">
        <f>plan_statystyki!J219</f>
        <v>130</v>
      </c>
      <c r="I14" s="107">
        <f>plan_statystyki!K219</f>
        <v>5.2</v>
      </c>
      <c r="J14" s="92">
        <f>plan_statystyki!L219</f>
        <v>365</v>
      </c>
      <c r="K14" s="107">
        <f>plan_statystyki!M219</f>
        <v>14.6</v>
      </c>
      <c r="L14" s="107">
        <f>plan_statystyki!N219</f>
        <v>200</v>
      </c>
      <c r="M14" s="107">
        <f>plan_statystyki!O219</f>
        <v>8</v>
      </c>
      <c r="N14" s="92">
        <f>plan_statystyki!P219</f>
        <v>0</v>
      </c>
      <c r="O14" s="107">
        <f>plan_statystyki!Q219</f>
        <v>0</v>
      </c>
      <c r="R14" s="68">
        <f t="shared" si="0"/>
        <v>795</v>
      </c>
      <c r="S14" s="68">
        <f t="shared" si="1"/>
        <v>31.799999999999997</v>
      </c>
    </row>
    <row r="15" spans="1:19" x14ac:dyDescent="0.25">
      <c r="A15" s="55"/>
    </row>
    <row r="16" spans="1:19" ht="14.25" customHeight="1" x14ac:dyDescent="0.25"/>
    <row r="17" spans="1:15" ht="14.25" customHeight="1" x14ac:dyDescent="0.25">
      <c r="A17" s="144" t="s">
        <v>756</v>
      </c>
    </row>
    <row r="18" spans="1:15" ht="24" customHeight="1" x14ac:dyDescent="0.25">
      <c r="A18" s="176" t="s">
        <v>757</v>
      </c>
      <c r="B18" s="177">
        <v>2500</v>
      </c>
      <c r="C18" s="177">
        <v>100</v>
      </c>
      <c r="D18" s="177">
        <v>180</v>
      </c>
      <c r="E18" s="178">
        <v>100</v>
      </c>
      <c r="F18" s="177">
        <v>415</v>
      </c>
      <c r="G18" s="179">
        <v>17</v>
      </c>
      <c r="H18" s="177">
        <v>855</v>
      </c>
      <c r="I18" s="288">
        <v>34.200000000000003</v>
      </c>
      <c r="J18" s="177">
        <v>877</v>
      </c>
      <c r="K18" s="288">
        <v>34.799999999999997</v>
      </c>
      <c r="L18" s="177">
        <v>200</v>
      </c>
      <c r="M18" s="179">
        <v>8</v>
      </c>
      <c r="N18" s="177">
        <v>150</v>
      </c>
      <c r="O18" s="179">
        <v>6</v>
      </c>
    </row>
    <row r="19" spans="1:15" ht="14.25" customHeight="1" x14ac:dyDescent="0.25"/>
    <row r="20" spans="1:15" ht="14.25" customHeight="1" x14ac:dyDescent="0.25">
      <c r="A20" t="s">
        <v>758</v>
      </c>
      <c r="B20" s="415">
        <f>((B11-B18)/B18)*100</f>
        <v>0</v>
      </c>
      <c r="C20" s="415">
        <f t="shared" ref="C20:O20" si="2">((C11-C18)/C18)*100</f>
        <v>0</v>
      </c>
      <c r="D20" s="415">
        <f t="shared" si="2"/>
        <v>0</v>
      </c>
      <c r="E20" s="415">
        <f t="shared" si="2"/>
        <v>0</v>
      </c>
      <c r="F20" s="423">
        <f>((F11-F18)/F18)*100</f>
        <v>-8.4337349397590362</v>
      </c>
      <c r="G20" s="415">
        <f t="shared" si="2"/>
        <v>-10.58823529411765</v>
      </c>
      <c r="H20" s="423">
        <f t="shared" si="2"/>
        <v>-23.976608187134502</v>
      </c>
      <c r="I20" s="415">
        <f t="shared" si="2"/>
        <v>-23.976608187134509</v>
      </c>
      <c r="J20" s="423">
        <f>((J11-J18)/J18)*100</f>
        <v>27.708095781071833</v>
      </c>
      <c r="K20" s="415">
        <f t="shared" si="2"/>
        <v>28.735632183908066</v>
      </c>
      <c r="L20" s="415">
        <f t="shared" si="2"/>
        <v>0</v>
      </c>
      <c r="M20" s="415">
        <f t="shared" si="2"/>
        <v>0</v>
      </c>
      <c r="N20" s="415">
        <f t="shared" si="2"/>
        <v>0</v>
      </c>
      <c r="O20" s="415">
        <f t="shared" si="2"/>
        <v>0</v>
      </c>
    </row>
    <row r="21" spans="1:15" ht="14.25" customHeight="1" x14ac:dyDescent="0.25"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spans="1:15" ht="14.25" customHeight="1" x14ac:dyDescent="0.25"/>
    <row r="23" spans="1:15" ht="14.25" customHeight="1" x14ac:dyDescent="0.25"/>
    <row r="24" spans="1:15" ht="14.25" customHeight="1" x14ac:dyDescent="0.25"/>
    <row r="25" spans="1:15" ht="14.25" customHeight="1" x14ac:dyDescent="0.25"/>
    <row r="26" spans="1:15" ht="14.25" customHeight="1" x14ac:dyDescent="0.25"/>
    <row r="27" spans="1:15" ht="14.25" customHeight="1" x14ac:dyDescent="0.25"/>
    <row r="28" spans="1:15" ht="14.25" customHeight="1" x14ac:dyDescent="0.25"/>
    <row r="29" spans="1:15" ht="14.25" customHeight="1" x14ac:dyDescent="0.25"/>
    <row r="30" spans="1:15" ht="14.25" customHeight="1" x14ac:dyDescent="0.25"/>
    <row r="31" spans="1:15" ht="14.25" customHeight="1" x14ac:dyDescent="0.25"/>
    <row r="32" spans="1:15" ht="14.25" customHeight="1" x14ac:dyDescent="0.25"/>
    <row r="33" spans="1:1" ht="14.25" customHeight="1" x14ac:dyDescent="0.25"/>
    <row r="34" spans="1:1" ht="14.25" customHeight="1" x14ac:dyDescent="0.25"/>
    <row r="35" spans="1:1" ht="14.25" customHeight="1" x14ac:dyDescent="0.25"/>
    <row r="36" spans="1:1" ht="14.25" customHeight="1" x14ac:dyDescent="0.25"/>
    <row r="37" spans="1:1" ht="14.25" customHeight="1" x14ac:dyDescent="0.25">
      <c r="A37" s="55"/>
    </row>
    <row r="38" spans="1:1" ht="14.25" customHeight="1" x14ac:dyDescent="0.25"/>
    <row r="39" spans="1:1" ht="14.25" customHeight="1" x14ac:dyDescent="0.25"/>
    <row r="40" spans="1:1" ht="14.25" customHeight="1" x14ac:dyDescent="0.25"/>
    <row r="41" spans="1:1" ht="14.25" customHeight="1" x14ac:dyDescent="0.25"/>
    <row r="42" spans="1:1" ht="14.25" customHeight="1" x14ac:dyDescent="0.25"/>
    <row r="43" spans="1:1" ht="14.25" customHeight="1" x14ac:dyDescent="0.25"/>
  </sheetData>
  <mergeCells count="3">
    <mergeCell ref="A1:O1"/>
    <mergeCell ref="A2:O2"/>
    <mergeCell ref="A3:O3"/>
  </mergeCells>
  <pageMargins left="0.70866141732283461" right="0.70866141732283461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9"/>
  <sheetViews>
    <sheetView workbookViewId="0">
      <selection activeCell="B17" sqref="B17"/>
    </sheetView>
  </sheetViews>
  <sheetFormatPr defaultRowHeight="15" x14ac:dyDescent="0.25"/>
  <cols>
    <col min="1" max="1" width="73.28515625" customWidth="1"/>
    <col min="2" max="5" width="11.42578125" customWidth="1"/>
    <col min="8" max="8" width="82.5703125" customWidth="1"/>
  </cols>
  <sheetData>
    <row r="1" spans="1:9" ht="30" customHeight="1" x14ac:dyDescent="0.25">
      <c r="A1" s="88"/>
      <c r="B1" s="89" t="s">
        <v>751</v>
      </c>
      <c r="C1" s="89" t="s">
        <v>752</v>
      </c>
      <c r="D1" s="89" t="s">
        <v>8</v>
      </c>
      <c r="E1" s="90" t="s">
        <v>752</v>
      </c>
      <c r="I1" s="126"/>
    </row>
    <row r="2" spans="1:9" ht="23.25" customHeight="1" x14ac:dyDescent="0.25">
      <c r="A2" s="91" t="s">
        <v>232</v>
      </c>
      <c r="B2" s="102">
        <f>plan_statystyki!D220</f>
        <v>450</v>
      </c>
      <c r="C2" s="102">
        <f>plan_statystyki!E220</f>
        <v>18</v>
      </c>
      <c r="D2" s="102">
        <f>plan_statystyki!F220</f>
        <v>35</v>
      </c>
      <c r="E2" s="102">
        <f>plan_statystyki!G220</f>
        <v>19.444444444444446</v>
      </c>
      <c r="I2" s="126"/>
    </row>
    <row r="3" spans="1:9" ht="23.25" customHeight="1" x14ac:dyDescent="0.25">
      <c r="A3" s="91" t="s">
        <v>235</v>
      </c>
      <c r="B3" s="102">
        <f>plan_statystyki!D221</f>
        <v>553</v>
      </c>
      <c r="C3" s="102">
        <f>plan_statystyki!E221</f>
        <v>22.12</v>
      </c>
      <c r="D3" s="102">
        <f>plan_statystyki!F221</f>
        <v>50</v>
      </c>
      <c r="E3" s="102">
        <f>plan_statystyki!G221</f>
        <v>27.777777777777779</v>
      </c>
      <c r="I3" s="126"/>
    </row>
    <row r="4" spans="1:9" ht="23.25" customHeight="1" x14ac:dyDescent="0.25">
      <c r="A4" s="91" t="s">
        <v>759</v>
      </c>
      <c r="B4" s="102">
        <f>plan_statystyki!D222</f>
        <v>562</v>
      </c>
      <c r="C4" s="102">
        <f>plan_statystyki!E222</f>
        <v>22.48</v>
      </c>
      <c r="D4" s="102">
        <f>plan_statystyki!F222</f>
        <v>36</v>
      </c>
      <c r="E4" s="102">
        <f>plan_statystyki!G222</f>
        <v>20</v>
      </c>
      <c r="I4" s="126"/>
    </row>
    <row r="5" spans="1:9" ht="23.25" customHeight="1" x14ac:dyDescent="0.25">
      <c r="A5" s="91" t="s">
        <v>760</v>
      </c>
      <c r="B5" s="102">
        <f>plan_statystyki!D226</f>
        <v>200</v>
      </c>
      <c r="C5" s="102">
        <f>plan_statystyki!E226</f>
        <v>8</v>
      </c>
      <c r="D5" s="102">
        <f>plan_statystyki!F226</f>
        <v>11</v>
      </c>
      <c r="E5" s="102">
        <f>plan_statystyki!G226</f>
        <v>6.1111111111111107</v>
      </c>
      <c r="I5" s="126"/>
    </row>
    <row r="6" spans="1:9" ht="23.25" customHeight="1" x14ac:dyDescent="0.25">
      <c r="A6" s="91" t="s">
        <v>761</v>
      </c>
      <c r="B6" s="102">
        <f>plan_statystyki!D227</f>
        <v>150</v>
      </c>
      <c r="C6" s="102">
        <f>plan_statystyki!E227</f>
        <v>6</v>
      </c>
      <c r="D6" s="102">
        <f>plan_statystyki!F227</f>
        <v>6</v>
      </c>
      <c r="E6" s="102">
        <f>plan_statystyki!G227</f>
        <v>3.3333333333333335</v>
      </c>
      <c r="I6" s="126"/>
    </row>
    <row r="7" spans="1:9" ht="33.75" customHeight="1" x14ac:dyDescent="0.25">
      <c r="A7" s="88" t="s">
        <v>762</v>
      </c>
      <c r="B7" s="103">
        <f>plan_statystyki!D233</f>
        <v>2360</v>
      </c>
      <c r="C7" s="103">
        <f>plan_statystyki!E233</f>
        <v>94.399999999999991</v>
      </c>
      <c r="D7" s="103">
        <f>plan_statystyki!F233</f>
        <v>90.98666666666665</v>
      </c>
      <c r="E7" s="104">
        <f>plan_statystyki!G233</f>
        <v>50.548148148148144</v>
      </c>
      <c r="I7" s="126"/>
    </row>
    <row r="8" spans="1:9" ht="33.75" customHeight="1" x14ac:dyDescent="0.25">
      <c r="A8" s="88" t="s">
        <v>763</v>
      </c>
      <c r="B8" s="103">
        <f>plan_statystyki!D234</f>
        <v>2222</v>
      </c>
      <c r="C8" s="103">
        <f>plan_statystyki!E234</f>
        <v>88.88000000000001</v>
      </c>
      <c r="D8" s="103">
        <f>plan_statystyki!F234</f>
        <v>88.68</v>
      </c>
      <c r="E8" s="104">
        <f>plan_statystyki!G234</f>
        <v>49.266666666666673</v>
      </c>
      <c r="I8" s="126"/>
    </row>
    <row r="9" spans="1:9" ht="24.75" customHeight="1" x14ac:dyDescent="0.25">
      <c r="A9" s="88" t="s">
        <v>764</v>
      </c>
      <c r="B9" s="103">
        <f>plan_statystyki!D235</f>
        <v>1000</v>
      </c>
      <c r="C9" s="103">
        <f>plan_statystyki!E235</f>
        <v>40</v>
      </c>
      <c r="D9" s="103">
        <f>plan_statystyki!F235</f>
        <v>46.410620294588526</v>
      </c>
      <c r="E9" s="103">
        <f>plan_statystyki!G235</f>
        <v>25.783677941438071</v>
      </c>
      <c r="I9" s="126"/>
    </row>
    <row r="10" spans="1:9" ht="24.75" customHeight="1" x14ac:dyDescent="0.25">
      <c r="A10" s="88" t="s">
        <v>765</v>
      </c>
      <c r="B10" s="103">
        <f>plan_statystyki!D236</f>
        <v>895</v>
      </c>
      <c r="C10" s="103">
        <f>plan_statystyki!E236</f>
        <v>35.799999999999997</v>
      </c>
      <c r="D10" s="103">
        <f>plan_statystyki!F236</f>
        <v>60</v>
      </c>
      <c r="E10" s="103">
        <f>plan_statystyki!G236</f>
        <v>33.333333333333329</v>
      </c>
      <c r="I10" s="126"/>
    </row>
    <row r="11" spans="1:9" ht="24.75" customHeight="1" x14ac:dyDescent="0.25">
      <c r="A11" s="88" t="s">
        <v>766</v>
      </c>
      <c r="B11" s="103">
        <f>plan_statystyki!D237</f>
        <v>90</v>
      </c>
      <c r="C11" s="103">
        <f>plan_statystyki!E237</f>
        <v>3.5999999999999996</v>
      </c>
      <c r="D11" s="103">
        <f>plan_statystyki!F237</f>
        <v>6</v>
      </c>
      <c r="E11" s="103">
        <f>plan_statystyki!G237</f>
        <v>3.3333333333333335</v>
      </c>
      <c r="I11" s="126"/>
    </row>
    <row r="12" spans="1:9" ht="24.75" customHeight="1" x14ac:dyDescent="0.25">
      <c r="A12" s="88" t="s">
        <v>767</v>
      </c>
      <c r="B12" s="103">
        <f>plan_statystyki!D238</f>
        <v>120</v>
      </c>
      <c r="C12" s="103">
        <f>plan_statystyki!E238</f>
        <v>4.8</v>
      </c>
      <c r="D12" s="103">
        <f>plan_statystyki!F238</f>
        <v>4</v>
      </c>
      <c r="E12" s="103">
        <f>plan_statystyki!G238</f>
        <v>2.2222222222222223</v>
      </c>
      <c r="H12" s="126"/>
      <c r="I12" s="126"/>
    </row>
    <row r="13" spans="1:9" ht="24.75" customHeight="1" x14ac:dyDescent="0.25">
      <c r="A13" s="88" t="s">
        <v>768</v>
      </c>
      <c r="B13" s="103">
        <f>plan_statystyki!D239</f>
        <v>60</v>
      </c>
      <c r="C13" s="103">
        <f>plan_statystyki!E239</f>
        <v>2.4</v>
      </c>
      <c r="D13" s="103">
        <f>plan_statystyki!F239</f>
        <v>0</v>
      </c>
      <c r="E13" s="103">
        <f>plan_statystyki!G239</f>
        <v>0</v>
      </c>
      <c r="H13" s="126"/>
      <c r="I13" s="126"/>
    </row>
    <row r="14" spans="1:9" ht="24.75" customHeight="1" x14ac:dyDescent="0.25">
      <c r="A14" s="88" t="s">
        <v>259</v>
      </c>
      <c r="B14" s="103">
        <f>plan_statystyki!D240</f>
        <v>1337</v>
      </c>
      <c r="C14" s="103">
        <f>plan_statystyki!E240</f>
        <v>53.480000000000004</v>
      </c>
      <c r="D14" s="103">
        <f>plan_statystyki!F240</f>
        <v>95</v>
      </c>
      <c r="E14" s="103">
        <f>plan_statystyki!G240</f>
        <v>52.777777777777779</v>
      </c>
      <c r="H14" s="126"/>
      <c r="I14" s="126"/>
    </row>
    <row r="15" spans="1:9" ht="24.75" customHeight="1" x14ac:dyDescent="0.25">
      <c r="A15" s="88" t="s">
        <v>769</v>
      </c>
      <c r="B15" s="103">
        <f>plan_statystyki!D241</f>
        <v>1298</v>
      </c>
      <c r="C15" s="103">
        <f>plan_statystyki!E241</f>
        <v>51.92</v>
      </c>
      <c r="D15" s="103">
        <f>plan_statystyki!F241</f>
        <v>106</v>
      </c>
      <c r="E15" s="103">
        <f>plan_statystyki!G241</f>
        <v>58.888888888888893</v>
      </c>
      <c r="H15" s="127"/>
      <c r="I15" s="126"/>
    </row>
    <row r="16" spans="1:9" ht="24.75" customHeight="1" x14ac:dyDescent="0.25">
      <c r="A16" s="88" t="s">
        <v>770</v>
      </c>
      <c r="B16" s="103">
        <f>plan_statystyki!D243</f>
        <v>400</v>
      </c>
      <c r="C16" s="103">
        <f>plan_statystyki!E243</f>
        <v>16</v>
      </c>
      <c r="D16" s="103">
        <f>plan_statystyki!F243</f>
        <v>28.221062653190124</v>
      </c>
      <c r="E16" s="103">
        <f>plan_statystyki!G243</f>
        <v>15.678368140661181</v>
      </c>
      <c r="H16" s="127"/>
      <c r="I16" s="126"/>
    </row>
    <row r="17" spans="1:9" x14ac:dyDescent="0.25">
      <c r="H17" s="126"/>
      <c r="I17" s="126"/>
    </row>
    <row r="18" spans="1:9" x14ac:dyDescent="0.25">
      <c r="H18" s="126"/>
      <c r="I18" s="126"/>
    </row>
    <row r="19" spans="1:9" ht="25.5" x14ac:dyDescent="0.25">
      <c r="A19" s="128" t="s">
        <v>771</v>
      </c>
      <c r="I19" s="126"/>
    </row>
    <row r="20" spans="1:9" x14ac:dyDescent="0.25">
      <c r="A20" s="128" t="s">
        <v>772</v>
      </c>
      <c r="I20" s="126"/>
    </row>
    <row r="21" spans="1:9" x14ac:dyDescent="0.25">
      <c r="A21" s="128" t="s">
        <v>773</v>
      </c>
      <c r="I21" s="126"/>
    </row>
    <row r="22" spans="1:9" ht="25.5" x14ac:dyDescent="0.25">
      <c r="A22" s="128" t="s">
        <v>774</v>
      </c>
      <c r="I22" s="126"/>
    </row>
    <row r="23" spans="1:9" x14ac:dyDescent="0.25">
      <c r="A23" s="128" t="s">
        <v>775</v>
      </c>
      <c r="I23" s="126"/>
    </row>
    <row r="24" spans="1:9" x14ac:dyDescent="0.25">
      <c r="A24" s="129" t="s">
        <v>776</v>
      </c>
      <c r="I24" s="126"/>
    </row>
    <row r="25" spans="1:9" x14ac:dyDescent="0.25">
      <c r="A25" s="261" t="s">
        <v>777</v>
      </c>
      <c r="I25" s="126"/>
    </row>
    <row r="26" spans="1:9" ht="25.5" x14ac:dyDescent="0.25">
      <c r="A26" s="128" t="s">
        <v>778</v>
      </c>
    </row>
    <row r="27" spans="1:9" ht="25.5" x14ac:dyDescent="0.25">
      <c r="A27" s="128" t="s">
        <v>779</v>
      </c>
    </row>
    <row r="28" spans="1:9" ht="25.5" x14ac:dyDescent="0.25">
      <c r="A28" s="128" t="s">
        <v>780</v>
      </c>
    </row>
    <row r="29" spans="1:9" ht="38.25" x14ac:dyDescent="0.25">
      <c r="A29" s="128" t="s">
        <v>781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plan_statystyki</vt:lpstr>
      <vt:lpstr>Przedmioty_statystyka</vt:lpstr>
      <vt:lpstr>KODY 2024</vt:lpstr>
      <vt:lpstr>2024_Fakultety</vt:lpstr>
      <vt:lpstr>ECTS-Bilans nauk</vt:lpstr>
      <vt:lpstr>E,ZO,Z</vt:lpstr>
      <vt:lpstr>Obciazenie Studenta</vt:lpstr>
      <vt:lpstr>Wskazniki liczbowe1</vt:lpstr>
      <vt:lpstr>Wskazniki liczbowe2</vt:lpstr>
      <vt:lpstr>Moduly_full on-line </vt:lpstr>
      <vt:lpstr>Opisy_do planu </vt:lpstr>
      <vt:lpstr>moduly z nauki</vt:lpstr>
      <vt:lpstr>moduly dw</vt:lpstr>
      <vt:lpstr>zaklad-godziny</vt:lpstr>
      <vt:lpstr>Zwyzka limitu 40 na 60</vt:lpstr>
      <vt:lpstr>Arkusz zmian2024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Marek Seroczyński</cp:lastModifiedBy>
  <cp:revision/>
  <dcterms:created xsi:type="dcterms:W3CDTF">2015-02-24T14:24:12Z</dcterms:created>
  <dcterms:modified xsi:type="dcterms:W3CDTF">2026-03-19T07:36:02Z</dcterms:modified>
  <cp:category/>
  <cp:contentStatus/>
</cp:coreProperties>
</file>